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never" defaultThemeVersion="166925"/>
  <mc:AlternateContent xmlns:mc="http://schemas.openxmlformats.org/markup-compatibility/2006">
    <mc:Choice Requires="x15">
      <x15ac:absPath xmlns:x15ac="http://schemas.microsoft.com/office/spreadsheetml/2010/11/ac" url="Z:\Migrated Documents\Temporary Files\PUSH IWMS\NE New TAL Calculators Jan 2024\"/>
    </mc:Choice>
  </mc:AlternateContent>
  <xr:revisionPtr revIDLastSave="0" documentId="8_{B9A4B07C-FF61-4CD8-8457-A962112493D7}" xr6:coauthVersionLast="47" xr6:coauthVersionMax="47" xr10:uidLastSave="{00000000-0000-0000-0000-000000000000}"/>
  <workbookProtection workbookAlgorithmName="SHA-512" workbookHashValue="9z50luvUMAUdYaLZNyEt069bhC303FSTVVXl0FjpHRu2FLQLI4i4IMRHBvePhvEqJI/zIB6XrHZGUf/34lREQQ==" workbookSaltValue="FgiJxN62ZkrElDLoP6dTzA==" workbookSpinCount="100000" lockStructure="1"/>
  <bookViews>
    <workbookView xWindow="-110" yWindow="-110" windowWidth="19420" windowHeight="10420" tabRatio="801" activeTab="1" xr2:uid="{82A04952-E2FF-4A89-87AE-39010027FF5F}"/>
  </bookViews>
  <sheets>
    <sheet name="About_the_calculator"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1" l="1"/>
  <c r="A11" i="10" s="1"/>
  <c r="A9" i="10" l="1"/>
  <c r="A20" i="21"/>
  <c r="B10" i="21"/>
  <c r="A15" i="21" s="1"/>
  <c r="B12" i="21"/>
  <c r="A12" i="21"/>
  <c r="H187" i="3"/>
  <c r="A11" i="21" l="1"/>
  <c r="A22" i="21"/>
  <c r="C11" i="8"/>
  <c r="H191" i="3"/>
  <c r="B11" i="21" l="1"/>
  <c r="D5" i="22"/>
  <c r="D7" i="22"/>
  <c r="D8" i="22"/>
  <c r="D9" i="22"/>
  <c r="D10" i="22"/>
  <c r="D11" i="22"/>
  <c r="D12" i="22"/>
  <c r="D13" i="22"/>
  <c r="D14" i="22"/>
  <c r="D15" i="22"/>
  <c r="D16" i="22"/>
  <c r="D17" i="22"/>
  <c r="D18" i="22"/>
  <c r="D19" i="22"/>
  <c r="D20" i="22"/>
  <c r="D21" i="22"/>
  <c r="D22" i="22"/>
  <c r="D23" i="22"/>
  <c r="D24" i="22"/>
  <c r="D25" i="22"/>
  <c r="D26" i="22"/>
  <c r="D27" i="22"/>
  <c r="D28" i="22"/>
  <c r="D15" i="8"/>
  <c r="D16" i="8"/>
  <c r="D17" i="8"/>
  <c r="D18" i="8"/>
  <c r="D19" i="8"/>
  <c r="D20" i="8"/>
  <c r="D21" i="8"/>
  <c r="D22" i="8"/>
  <c r="D23" i="8"/>
  <c r="D24" i="8"/>
  <c r="D25" i="8"/>
  <c r="D26" i="8"/>
  <c r="D27" i="8"/>
  <c r="D12" i="8"/>
  <c r="D13" i="8"/>
  <c r="D14" i="8"/>
  <c r="B20" i="21" l="1"/>
  <c r="B22" i="21"/>
  <c r="A21" i="21" s="1"/>
  <c r="H4" i="22"/>
  <c r="A280" i="3" l="1" a="1"/>
  <c r="A280" i="3" s="1"/>
  <c r="G5" i="22"/>
  <c r="G7" i="22"/>
  <c r="G8" i="22"/>
  <c r="G9" i="22"/>
  <c r="G10" i="22"/>
  <c r="G11" i="22"/>
  <c r="G12" i="22"/>
  <c r="G13" i="22"/>
  <c r="G14" i="22"/>
  <c r="G15" i="22"/>
  <c r="G16" i="22"/>
  <c r="G17" i="22"/>
  <c r="G18" i="22"/>
  <c r="G19" i="22"/>
  <c r="G20" i="22"/>
  <c r="G21" i="22"/>
  <c r="G22" i="22"/>
  <c r="G23" i="22"/>
  <c r="G24" i="22"/>
  <c r="G25" i="22"/>
  <c r="G26" i="22"/>
  <c r="G27" i="22"/>
  <c r="G28" i="22"/>
  <c r="H5" i="22"/>
  <c r="H6" i="22"/>
  <c r="H7" i="22"/>
  <c r="H8" i="22"/>
  <c r="H9" i="22"/>
  <c r="H10" i="22"/>
  <c r="H11" i="22"/>
  <c r="H12" i="22"/>
  <c r="H13" i="22"/>
  <c r="H14" i="22"/>
  <c r="H15" i="22"/>
  <c r="H16" i="22"/>
  <c r="H17" i="22"/>
  <c r="H18" i="22"/>
  <c r="H19" i="22"/>
  <c r="H20" i="22"/>
  <c r="H21" i="22"/>
  <c r="H22" i="22"/>
  <c r="H23" i="22"/>
  <c r="H24" i="22"/>
  <c r="H25" i="22"/>
  <c r="H26" i="22"/>
  <c r="H27" i="22"/>
  <c r="H28" i="22"/>
  <c r="B29" i="22" l="1"/>
  <c r="C13" i="8" l="1"/>
  <c r="B16" i="21"/>
  <c r="B17" i="21" s="1"/>
  <c r="A12" i="10"/>
  <c r="B18" i="21" l="1"/>
  <c r="H193" i="3" l="1"/>
  <c r="H192" i="3"/>
  <c r="C17" i="8" l="1"/>
  <c r="C7" i="9" l="1"/>
  <c r="C8" i="9"/>
  <c r="C9" i="9"/>
  <c r="C10" i="9"/>
  <c r="C11" i="9"/>
  <c r="C12" i="9"/>
  <c r="C13" i="9"/>
  <c r="F193" i="3" l="1"/>
  <c r="F192" i="3"/>
  <c r="F191" i="3"/>
  <c r="F190" i="3"/>
  <c r="F189" i="3"/>
  <c r="F188" i="3"/>
  <c r="F187" i="3"/>
  <c r="F186" i="3"/>
  <c r="D11" i="8"/>
  <c r="C6" i="9" l="1"/>
  <c r="D4" i="22" s="1"/>
  <c r="C5" i="9"/>
  <c r="C12" i="8"/>
  <c r="C25" i="8"/>
  <c r="C24" i="8"/>
  <c r="C16" i="8"/>
  <c r="C22" i="8"/>
  <c r="C14" i="8"/>
  <c r="C23" i="8"/>
  <c r="C15" i="8"/>
  <c r="C18" i="8"/>
  <c r="C21" i="8"/>
  <c r="C26" i="8"/>
  <c r="C20" i="8"/>
  <c r="C19" i="8"/>
  <c r="C16" i="9"/>
  <c r="C17" i="9"/>
  <c r="C18" i="9"/>
  <c r="C19" i="9"/>
  <c r="C20" i="9"/>
  <c r="C15" i="9"/>
  <c r="C14" i="9"/>
  <c r="C27" i="8"/>
  <c r="D6" i="22" l="1"/>
  <c r="G6" i="22" s="1"/>
  <c r="B5" i="10"/>
  <c r="G4" i="22"/>
  <c r="C21" i="9"/>
  <c r="D29" i="22" l="1"/>
  <c r="G29" i="22"/>
  <c r="C28" i="8"/>
  <c r="C22" i="9"/>
  <c r="B6" i="10" l="1"/>
  <c r="B7" i="10" s="1"/>
  <c r="B12" i="10" l="1"/>
  <c r="B14" i="10"/>
  <c r="B22" i="9"/>
  <c r="B28" i="8"/>
  <c r="B8" i="10" l="1"/>
  <c r="B10" i="10" s="1"/>
  <c r="A13" i="10"/>
  <c r="A14" i="10"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<sst xmlns="http://schemas.openxmlformats.org/spreadsheetml/2006/main" count="1099" uniqueCount="418">
  <si>
    <t>Natural England Nutrient Neutrality budget calculator for the River Avon SAC</t>
  </si>
  <si>
    <t>This tool contains six worksheets with nine tables in total, as well as an additional worksheet hidden from the user.</t>
  </si>
  <si>
    <t>This is the instructions sheet. It contains instructions on how to use the tool and provides an overview of each worksheet. This worksheet contains two tables.</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</si>
  <si>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</si>
  <si>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</si>
  <si>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(both have a similar effect to a right click), then press the letter 'O' twice to highlight 'Open Hyperlink' and press 'Enter'.</t>
  </si>
  <si>
    <t>If you use a keyboard only, any drop-down lists can be accessed by clicking the dropdown arrow or pressing the 'Alt' + 'Down' keys when the cell is selected.</t>
  </si>
  <si>
    <t>Table of contents</t>
  </si>
  <si>
    <t>Topic of each table</t>
  </si>
  <si>
    <t>Link to each worksheet</t>
  </si>
  <si>
    <t>Worksheet 1 (Nutrients_from_wastewater): Nutrient loading from additional wastewater</t>
  </si>
  <si>
    <t>Nutrients from wastewater</t>
  </si>
  <si>
    <t>Worksheet 2 (Nutrients_from_current_land_use): Nutrient loading from current land use</t>
  </si>
  <si>
    <t>Nutrients from current land use</t>
  </si>
  <si>
    <t>Worksheet 3 (Nutrients_from_future_land_use): Nutrient loading from future land use</t>
  </si>
  <si>
    <t>Nutrients from future land use</t>
  </si>
  <si>
    <t>Worksheet 4 (SuDS): Nutrient loading from future land use after treatment through a sustainable urban drainage system (SuDS)</t>
  </si>
  <si>
    <t>SuDS</t>
  </si>
  <si>
    <t>Worksheet 5 (Final_nutrient_budgets): Nutrient budget calculations</t>
  </si>
  <si>
    <t>Final_nutrient_budgets</t>
  </si>
  <si>
    <t>General information about the calculator</t>
  </si>
  <si>
    <t xml:space="preserve">This tool provides a step-by-step approach to calculating the nutrient budget for a new residential development.  </t>
  </si>
  <si>
    <t>The nutrient budget for a site is calculated in four key stages with an additional optional stage in which information about the SuDS features on the site can be entered. Each stage is implemented in worksheets 1-5 of this workbook.</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</si>
  <si>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</si>
  <si>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Each worksheet is connected through a set of formulas which calculate the nutrient budget. As such, all sheets which represent the four key stages require data inputs in order to calculate the nutrient budget.</t>
  </si>
  <si>
    <t xml:space="preserve">Before a nutrient budget can be completed using the methodology, certain site-specific details for the development site in question need to be determined.  </t>
  </si>
  <si>
    <t>There is a guidance webpage that accompanies this calculator and provides further information on the user inputs required.</t>
  </si>
  <si>
    <t>The required details and instructions for completing each stage of the nutrient budget methodology are shown in cell A2 of each worksheet.</t>
  </si>
  <si>
    <t>This tool uses a set of lookup tables to find relevant values in a hidden spreadsheet titled the 'Value_look_up_tables' worksheet.</t>
  </si>
  <si>
    <t xml:space="preserve">It is advisable to retain a blank copy of this workbook and 'Save As' a new copy each time you calculate a budget to minimise the risk of using incorrect data inputs and to ease the calculation of new nutrient budgets. </t>
  </si>
  <si>
    <t xml:space="preserve">The values already included in this tool have been chosen based on research to determine suitable inputs to the nutrient budget that meet the HRA tests of beyond reasonable scientific doubt, in perpetuity (practically speaking this is 80-125 years) and in accordance with the precautionary principle. </t>
  </si>
  <si>
    <t xml:space="preserve">If editing any values in this tool, you must make sure there is a sufficient evidence base to justify these changes and that the new inputs are selected in accordance with the precautionary principle.  </t>
  </si>
  <si>
    <t>Notes about the nutrients from wastewater worksheet</t>
  </si>
  <si>
    <t xml:space="preserve">This sheet contains two tables. </t>
  </si>
  <si>
    <t>The first table titled 'Table_3_Water_Infrastructure'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</si>
  <si>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two or three values for the permits and nutrients load from before and after the upgrade.</t>
  </si>
  <si>
    <t>The amount of wastewater generated as a result of the population needs to be calculated using an average occupancy rate, a per capita water usage figure, and the number of new developments. The default water usage value is preset in the worksheet. The default setting for the average occupancy rate is preset in the worksheet and is the national occupancy rate of 2.4 people per dwelling/unit. Only change this value if there is sufficient evidence that the development will be different to the national average. The number of new developments is not preset and must be a whole number.</t>
  </si>
  <si>
    <t>If it is uncertain what WwTW the development will drain into, please find this information from your sewerage company before completing the calculator. If it is not feasible to connect to a WwTW and a septic tank or package treatment plant is being used, please select this option. Please be aware that if the total phosphorus (TP) final effluent concentrations (in mg/l) are specified by the manufacturer, please select 'Septic Tank user defined' or 'Package Treatment Plant user defined' and enter the manufacturer specified value in the cell where prompted.</t>
  </si>
  <si>
    <t>The second table titled 'Table_4_Wastewater_Load' under the heading 'Final calculation of nutrient load from wastewater' contains the calculation of the nutrient load from additional wastewater. This table may present up to three different values for the nutrient load.</t>
  </si>
  <si>
    <t xml:space="preserve">If a nutrient permit is changing for the selected WwTW as of 01/01/2025, or 01/04/2030, the second table will be broken down into up to three parts: 'Post-2030 Stage 1 Nutrient Loading',  'Pre-2030 Stage 1 Nutrient Loading', and  'Pre-2025 Stage 1 Nutrient Loading'. If applicable, three nutrient budgets will be calculated for the loading before and after the 2030 and 2025 WwTW permit upgrades, and will be presented in cells B18, B20, or B22, if applicable. </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</si>
  <si>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</si>
  <si>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</si>
  <si>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eight agricultural landcover types and eight different non-agricultural landcover types. The full list of landcovers can be found in the associated guidance webpage or in the drop-down list. Please find out what landcover types are within the development before completing this tool. If there is a landcover within the development area that is not in the list please select the most similar landcover type.</t>
  </si>
  <si>
    <t>Sources of information required for nutrients from current land use worksheet</t>
  </si>
  <si>
    <t>Description of the information:</t>
  </si>
  <si>
    <t>Link</t>
  </si>
  <si>
    <t>The Operational Catchment within which the development is located can be found using the Environment Agency Catchment Data Explorer</t>
  </si>
  <si>
    <t>Environment Agency Catchment Data Explorer</t>
  </si>
  <si>
    <t>The drainage associated with the predominant soil type within development site can be found using the Soilscapes Map</t>
  </si>
  <si>
    <t>Soilscapes</t>
  </si>
  <si>
    <t>The annual average rainfall that the development will receive can be found using the National River Flow Archive for the '43021 - Avon at Knapp Mill</t>
  </si>
  <si>
    <t>National River Flow Archive</t>
  </si>
  <si>
    <t>Whether the development is located within a Nitrate Vulnerable Zone (NVZ) can be found using the UK Soil Observatory 'Nitrate Vulnerable Zones - England' map</t>
  </si>
  <si>
    <t>UK Soil Observatory</t>
  </si>
  <si>
    <t>Notes about the nutrients from future land use worksheet</t>
  </si>
  <si>
    <t xml:space="preserve">This worksheet contains a single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</si>
  <si>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eight different landcover types: greenspace, woodland, shrub, water, residential urban land, commercial/industrial urban land, open urban land and community food growing. Please find out what landcover types will be within the development site before completing this tool. If there is a landcover within the development site that is not in the list please select the most similar landcover type.</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</si>
  <si>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</si>
  <si>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</si>
  <si>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'Nutrients_from_future_land_use' worksheet can be selected. The nutrient loads associated with these landcovers are automatically calculated using the values from the worksheet 'Nutrient_loading_from_future_land_use'. The user must enter the percentage of flow that will be directed through the SuDS. Any numerical value less than or equal to 100% can be entered for the percentage of flow. Any numerical value less than or equal to 100% can be entered for the removal rates. The user can enter any text for the SuDS feature to allow for variability in the names of the SuDS features / management trains planned.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t>
  </si>
  <si>
    <t>Notes about the final nutrient budgets</t>
  </si>
  <si>
    <t>This final stage automatically calculates the results from worksheets 1-5 using the equation described in 'General notes about the calculator'.</t>
  </si>
  <si>
    <t>The value(s) shown represent the nutrient mitigation required in kilograms per year to achieve nutrient neutrality.</t>
  </si>
  <si>
    <t>If there are two or three values due to changing permits, the calculator will show the total amount of nutrient mitigation that is needed before and after the changing permit date.</t>
  </si>
  <si>
    <t>This sheet contains two tables. The tables are seperated by a heading in the 'Headings 2' style, which describes the following table. The first table 'Table_3_Water_Infrastructure' may contain blank cells in rows 11 to 12 and column C. User inputs are required for cells B5 to B9. In addition, user inputs are required in C10 depending on the information entered by the user. The second table 'Table_4_Wastewater_Load' may contain blank cells in rows 19 to 22. No user inputs are required in this table.
You can enter the average occupancy rate of the development in cell B6. The default rate is 2.4, this should not be edited without sufficient evidence.
You can enter the water usage in cell B7. This value should be kept at 120 unless other efficiency measures are used.
You can enter the total number of dwellings/units that will be within the development site as of the project completion date in cell B8.
You can choose the receiving WwTW from the drop-down list in cell B9. The drop-down lists can be accessed by clicking the arrow or pressing the 'Alt' + 'Down' keys when the cell is selected. If the user selects 'Package Treatment Plant user defined' or 'Septic Tank user defined', the user must enter their certified value of TP in cell C10. Otherwise the default values will be used in the calculation of the nutrient load associated with wastewater. 
Nutrient permits may be changing for the WwTW selected by the user as of 01/01/2025, or 01/04/2030. If the date of first occupancy is in-between changing permit dates, multiple permit limits may be automatically generated in cell B10 to B12. If applicable, up to three values for the nutrient loading associated with wastewater will be calculated for the loading will be presented in cell B18, B20, or B22.</t>
  </si>
  <si>
    <t>Water infrastructure information</t>
  </si>
  <si>
    <t>Description of required information</t>
  </si>
  <si>
    <t>Data entry column</t>
  </si>
  <si>
    <t>Additional data entry column</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</si>
  <si>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</si>
  <si>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</si>
  <si>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</si>
  <si>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</si>
  <si>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</si>
  <si>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</si>
  <si>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</si>
  <si>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</si>
  <si>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</si>
  <si>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</si>
  <si>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</si>
  <si>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</si>
  <si>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</si>
  <si>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t xml:space="preserve">This sheet contains two tables. The tables are seperated by a heading in the 'Headings 2' style, which describe the following table. The first table 'Table_5_Site_Information' requires user inputs in cells B5 to B8. The second table 'Table_6_Current_Land_Uses' requires user inputs in cells A11 to A27 and B11 to B27. The remaining columns are automatically calculated. The final Column (Column D) titled 'Notes on data' will remain empty unless the data automatically generated data has been extrapolated.
You can choose the Operational Catchment the site is located within from the drop-down list in cell B5. The drop-down lists can be accessed by clicking the arrow or pressing the 'Alt' + 'Down' keys when the cell is selected.
You can choose the soil drainage type associated with the predominant soil type within the development site from the drop-down list in cell B6. 
You can choose the annual average rainfall the development will receive from the drop-down list in cell B7. If the rainfall volume is not on the list, please select the nearest value.
You can choose whether the development is in a Nitrate Vulnerable Zone (NVZ) from the drop-down list in cell B8. 
You can choose the existing (pre-development) land use type(s) from the drop-down list in cells A11-A27. You can enter the area(s) (in hectares) of each land use type in cells B11-B27.
The nutrient load from current land uses is shown in cell C11-C27.
The total nutrient load from current land uses is shown in cell C28.
</t>
  </si>
  <si>
    <t>Current land use information</t>
  </si>
  <si>
    <t>Data entry Column</t>
  </si>
  <si>
    <t>Operational Catchment:</t>
  </si>
  <si>
    <t>Soil drainage type:</t>
  </si>
  <si>
    <t>Annual average rainfall (mm):</t>
  </si>
  <si>
    <t>Within Nitrate Vulnerable Zone (NVZ):</t>
  </si>
  <si>
    <t>Current land uses</t>
  </si>
  <si>
    <t>Existing land use type(s)</t>
  </si>
  <si>
    <t>Area (ha)</t>
  </si>
  <si>
    <t>Annual phosphorus export  
(kg TP/yr)</t>
  </si>
  <si>
    <t>Notes on data</t>
  </si>
  <si>
    <t>Totals:</t>
  </si>
  <si>
    <t>This sheet contains one table. The table 'Table_7_Future_Land_Uses' requires user inputs in cells A5 to A21 and B5 to B21. The remaining columns are automatically calculated.
You can choose the future (post-development) land use type(s) of landcover present on the new site from the drop-down list in cells A5-A21. The drop-down lists can be accessed by clicking the arrow or pressing the 'Alt' + 'Down' keys when the cell is selected.
You can enter the area(s) (in hectares) of each land use type in cells B5-B21.
The nutrient load from future land uses is shown in cell C5-C21.
The total nutrient load from future land uses is shown in cell C22.</t>
  </si>
  <si>
    <t>Future land uses</t>
  </si>
  <si>
    <t>New land use type(s)</t>
  </si>
  <si>
    <t>Annual phosphorus export
(kg TP/yr)</t>
  </si>
  <si>
    <t>Nutrients from future land use after SuDS treatment</t>
  </si>
  <si>
    <t>This sheet contains one table. 'Table_8_SuDS_Features' requires user inputs in cells A4 to C28 and F4 to H28 if the user is including SuDS to remove nutrients from the surface runoff. The remaining columns are automatically calculated.
You can choose the future (post-development) land use type(s) of landcover present on the new site within the SuDS catchment area from the drop-down list in cells A4-A28. Only landcovers entered into the worksheet titled 'Nutrient_from_Future_Land_use' can be entered. The drop-down lists can be accessed by clicking the arrow or pressing the 'Alt' + 'Down' keys when the cell is selected.
You can enter the area(s) (in hectares) of each new land use type within the SuDS catchment area in cells B4-B28.
The percentage of the flow entering the SuDS feature can be entered in Column C4-C28. If all flow is being diverted to the SuDS feature then this value should be set to 100%.
The annual TP and TN loads associated with the landcovers in the SuDS catchment area are automatically calculated in cells D4-D28 and E4-E28, respectively.
The name of the SuDS features used to intercept surface flows can be entered in F4-F28. Any text can be entered into these cells.
The nutrient removal rates associated with the SuDS features can be entered into G4-G28 and H4-H28 for TP and TN, respectively. These values must be identified by the user and must be specific to the SuDS features being implemented.
The annual TP and TN loads removed by the SuDS features are automatically calculated in cells I4-I28 and J4-J28, respectively. These values are subtracted from the nutrient budget.
The 'Notes on data' column (Column K) does not require user inputs. This cell will be blank unless the cumulative area of each landcover within the SuDS catchment area exceeds the area of the landcovers entered into the worksheet titled 'Nutrients_from_future_land_use'.
The total nutrient load removed through the SuDS features is shown in cell I29 for TP and J29 for TN.</t>
  </si>
  <si>
    <t>New land use type(s) within SuDS catchment area</t>
  </si>
  <si>
    <t>SuDS catchment area (ha)</t>
  </si>
  <si>
    <t>Percentage of flow entering the SuDS (%)</t>
  </si>
  <si>
    <t>Annual phosphorus inputs to SuDS feature(s)
(kg T/yr)</t>
  </si>
  <si>
    <t>Name of SuDS feature(s)</t>
  </si>
  <si>
    <t>TP removal rate for features - user specified (%)</t>
  </si>
  <si>
    <t>Annual phosphorus load removed by SuDS
(kg TP/yr)</t>
  </si>
  <si>
    <t>Final nutrient budgets</t>
  </si>
  <si>
    <t>This worksheet contains one table 'Table_9_Final_Nutrient_Budgets'. This table is automatically populated using the outputs from the previous worksheets. It presents calculations that underpin the final annual nutrient budget for the development site. If applicable, up to three values for the nutrient budget may be presented in cells B10, B12, or B14. Some cells may be empty if there are no changing permits.</t>
  </si>
  <si>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</si>
  <si>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</si>
  <si>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</si>
  <si>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</si>
  <si>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</si>
  <si>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</si>
  <si>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</si>
  <si>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</si>
  <si>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</si>
  <si>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</si>
  <si>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</si>
  <si>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</si>
  <si>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All Cannings WRC</t>
  </si>
  <si>
    <t>Amesbury STW</t>
  </si>
  <si>
    <t>Barford St Martin WRC</t>
  </si>
  <si>
    <t>Berwick St.James</t>
  </si>
  <si>
    <t>Bishopstone</t>
  </si>
  <si>
    <t>Chitterne WwTW</t>
  </si>
  <si>
    <t>Christchurch STW</t>
  </si>
  <si>
    <t>Collingbourne Ducis</t>
  </si>
  <si>
    <t>Crockerton STW</t>
  </si>
  <si>
    <t>Downton STW</t>
  </si>
  <si>
    <t>East Knoyle WRC</t>
  </si>
  <si>
    <t>Etchilhampton</t>
  </si>
  <si>
    <t>Everleigh WwTW</t>
  </si>
  <si>
    <t>Fordingbridge WRC</t>
  </si>
  <si>
    <t>Fovant WRC</t>
  </si>
  <si>
    <t>Gorley STW</t>
  </si>
  <si>
    <t>Great Wishford WRC</t>
  </si>
  <si>
    <t>Hindon WwTW</t>
  </si>
  <si>
    <t>Hurdcott WwTW</t>
  </si>
  <si>
    <t>Maiden Bradley WwTW</t>
  </si>
  <si>
    <t>Marden STW</t>
  </si>
  <si>
    <t>Matchams Close WwTW</t>
  </si>
  <si>
    <t>Monkton Deverill WRC</t>
  </si>
  <si>
    <t>Netheravon STW</t>
  </si>
  <si>
    <t>Pewsey WwTW</t>
  </si>
  <si>
    <t>Ratfyn STW</t>
  </si>
  <si>
    <t>Ringwood STW</t>
  </si>
  <si>
    <t>Salisbury (Petersfinger)</t>
  </si>
  <si>
    <t>Semley</t>
  </si>
  <si>
    <t>Shipton Bellinger WwTW</t>
  </si>
  <si>
    <t>Shrewton WRC</t>
  </si>
  <si>
    <t>Stanton St Bernard WRC</t>
  </si>
  <si>
    <t>Tidworth Garrison WwTW</t>
  </si>
  <si>
    <t>Tilshead WwTW</t>
  </si>
  <si>
    <t>Tisbury STW</t>
  </si>
  <si>
    <t>Upavon STW</t>
  </si>
  <si>
    <t>Warminster WwTW</t>
  </si>
  <si>
    <t>Wedhampton</t>
  </si>
  <si>
    <t>Whitsbury WwTW</t>
  </si>
  <si>
    <t>Woodgreen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</si>
  <si>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</si>
  <si>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</si>
  <si>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</si>
  <si>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</si>
  <si>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</si>
  <si>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</si>
  <si>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</si>
  <si>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</si>
  <si>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</si>
  <si>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</si>
  <si>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</si>
  <si>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</si>
  <si>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</si>
  <si>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</si>
  <si>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</si>
  <si>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</si>
  <si>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</si>
  <si>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</si>
  <si>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Avon Hampshire</t>
  </si>
  <si>
    <t>Cereals</t>
  </si>
  <si>
    <t>700to900</t>
  </si>
  <si>
    <t>FreeDrain</t>
  </si>
  <si>
    <t>Avon Hampshire|Cereals|FALSE|700to900|FreeDrain</t>
  </si>
  <si>
    <t>Cereals|700to900</t>
  </si>
  <si>
    <t>Avon Hampshire|Cereals|TRUE|700to900|FreeDrain</t>
  </si>
  <si>
    <t>DrainedAr</t>
  </si>
  <si>
    <t>Avon Hampshire|Cereals|FALSE|700to900|DrainedAr</t>
  </si>
  <si>
    <t>Avon Hampshire|Cereals|TRUE|700to900|DrainedAr</t>
  </si>
  <si>
    <t>DrainedArGr</t>
  </si>
  <si>
    <t>Avon Hampshire|Cereals|FALSE|700to900|DrainedArGr</t>
  </si>
  <si>
    <t>Avon Hampshire|Cereals|TRUE|700to900|DrainedArGr</t>
  </si>
  <si>
    <t>900to1200</t>
  </si>
  <si>
    <t>Avon Hampshire|Cereals|FALSE|900to1200|FreeDrain</t>
  </si>
  <si>
    <t>Cereals|900to1200</t>
  </si>
  <si>
    <t>Avon Hampshire|Cereals|TRUE|900to1200|FreeDrain</t>
  </si>
  <si>
    <t>Avon Hampshire|Cereals|TRUE|900to1200|DrainedAr</t>
  </si>
  <si>
    <t>Avon Hampshire|Cereals|FALSE|900to1200|DrainedArGr</t>
  </si>
  <si>
    <t>General</t>
  </si>
  <si>
    <t>Avon Hampshire|General|FALSE|700to900|FreeDrain</t>
  </si>
  <si>
    <t>General|700to900</t>
  </si>
  <si>
    <t>Avon Hampshire|General|TRUE|700to900|FreeDrain</t>
  </si>
  <si>
    <t>Avon Hampshire|General|FALSE|700to900|DrainedAr</t>
  </si>
  <si>
    <t>Avon Hampshire|General|TRUE|700to900|DrainedAr</t>
  </si>
  <si>
    <t>Avon Hampshire|General|FALSE|700to900|DrainedArGr</t>
  </si>
  <si>
    <t>Avon Hampshire|General|TRUE|700to900|DrainedArGr</t>
  </si>
  <si>
    <t>Avon Hampshire|General|FALSE|900to1200|FreeDrain</t>
  </si>
  <si>
    <t>General|900to1200</t>
  </si>
  <si>
    <t>Avon Hampshire|General|TRUE|900to1200|FreeDrain</t>
  </si>
  <si>
    <t>Avon Hampshire|General|TRUE|900to1200|DrainedAr</t>
  </si>
  <si>
    <t>Avon Hampshire|General|FALSE|900to1200|DrainedArGr</t>
  </si>
  <si>
    <t>Avon Hampshire|General|TRUE|900to1200|DrainedArGr</t>
  </si>
  <si>
    <t>Horticulture</t>
  </si>
  <si>
    <t>Avon Hampshire|Horticulture|FALSE|700to900|FreeDrain</t>
  </si>
  <si>
    <t>Horticulture|700to900</t>
  </si>
  <si>
    <t>Avon Hampshire|Horticulture|TRUE|700to900|FreeDrain</t>
  </si>
  <si>
    <t>Avon Hampshire|Horticulture|FALSE|700to900|DrainedAr</t>
  </si>
  <si>
    <t>Avon Hampshire|Horticulture|TRUE|700to900|DrainedAr</t>
  </si>
  <si>
    <t>Avon Hampshire|Horticulture|FALSE|700to900|DrainedArGr</t>
  </si>
  <si>
    <t>Avon Hampshire|Horticulture|TRUE|900to1200|FreeDrain</t>
  </si>
  <si>
    <t>Horticulture|900to1200</t>
  </si>
  <si>
    <t>Pig</t>
  </si>
  <si>
    <t>Avon Hampshire|Pig|FALSE|700to900|FreeDrain</t>
  </si>
  <si>
    <t>Pig|700to900</t>
  </si>
  <si>
    <t>Avon Hampshire|Pig|TRUE|700to900|FreeDrain</t>
  </si>
  <si>
    <t>Avon Hampshire|Pig|FALSE|700to900|DrainedAr</t>
  </si>
  <si>
    <t>Avon Hampshire|Pig|FALSE|900to1200|FreeDrain</t>
  </si>
  <si>
    <t>Pig|900to1200</t>
  </si>
  <si>
    <t>Avon Hampshire|Pig|TRUE|900to1200|FreeDrain</t>
  </si>
  <si>
    <t>Poultry</t>
  </si>
  <si>
    <t>Avon Hampshire|Poultry|FALSE|700to900|FreeDrain</t>
  </si>
  <si>
    <t>Poultry|700to900</t>
  </si>
  <si>
    <t>Avon Hampshire|Poultry|TRUE|700to900|FreeDrain</t>
  </si>
  <si>
    <t>Avon Hampshire|Poultry|FALSE|700to900|DrainedAr</t>
  </si>
  <si>
    <t>Avon Hampshire|Poultry|TRUE|700to900|DrainedAr</t>
  </si>
  <si>
    <t>Avon Hampshire|Poultry|TRUE|700to900|DrainedArGr</t>
  </si>
  <si>
    <t>Avon Hampshire|Poultry|TRUE|900to1200|FreeDrain</t>
  </si>
  <si>
    <t>Poultry|900to1200</t>
  </si>
  <si>
    <t>Avon Hampshire|Poultry|TRUE|900to1200|DrainedArGr</t>
  </si>
  <si>
    <t>Dairy</t>
  </si>
  <si>
    <t>Avon Hampshire|Dairy|FALSE|700to900|FreeDrain</t>
  </si>
  <si>
    <t>Dairy|700to900</t>
  </si>
  <si>
    <t>Avon Hampshire|Dairy|TRUE|700to900|FreeDrain</t>
  </si>
  <si>
    <t>Avon Hampshire|Dairy|FALSE|700to900|DrainedAr</t>
  </si>
  <si>
    <t>Avon Hampshire|Dairy|TRUE|700to900|DrainedAr</t>
  </si>
  <si>
    <t>Avon Hampshire|Dairy|FALSE|700to900|DrainedArGr</t>
  </si>
  <si>
    <t>Avon Hampshire|Dairy|FALSE|900to1200|FreeDrain</t>
  </si>
  <si>
    <t>Dairy|900to1200</t>
  </si>
  <si>
    <t>Avon Hampshire|Dairy|TRUE|900to1200|FreeDrain</t>
  </si>
  <si>
    <t>Avon Hampshire|Dairy|FALSE|900to1200|DrainedArGr</t>
  </si>
  <si>
    <t>Lowland</t>
  </si>
  <si>
    <t>Avon Hampshire|Lowland|FALSE|700to900|FreeDrain</t>
  </si>
  <si>
    <t>Lowland|700to900</t>
  </si>
  <si>
    <t>Avon Hampshire|Lowland|TRUE|700to900|FreeDrain</t>
  </si>
  <si>
    <t>Avon Hampshire|Lowland|FALSE|700to900|DrainedAr</t>
  </si>
  <si>
    <t>Avon Hampshire|Lowland|TRUE|700to900|DrainedAr</t>
  </si>
  <si>
    <t>Avon Hampshire|Lowland|FALSE|700to900|DrainedArGr</t>
  </si>
  <si>
    <t>Avon Hampshire|Lowland|TRUE|700to900|DrainedArGr</t>
  </si>
  <si>
    <t>Avon Hampshire|Lowland|FALSE|900to1200|FreeDrain</t>
  </si>
  <si>
    <t>Lowland|900to1200</t>
  </si>
  <si>
    <t>Avon Hampshire|Lowland|TRUE|900to1200|FreeDrain</t>
  </si>
  <si>
    <t>Avon Hampshire|Lowland|FALSE|900to1200|DrainedAr</t>
  </si>
  <si>
    <t>Avon Hampshire|Lowland|TRUE|900to1200|DrainedAr</t>
  </si>
  <si>
    <t>Avon Hampshire|Lowland|FALSE|900to1200|DrainedArGr</t>
  </si>
  <si>
    <t>Mixed</t>
  </si>
  <si>
    <t>Avon Hampshire|Mixed|FALSE|700to900|FreeDrain</t>
  </si>
  <si>
    <t>Mixed|700to900</t>
  </si>
  <si>
    <t>Avon Hampshire|Mixed|TRUE|700to900|FreeDrain</t>
  </si>
  <si>
    <t>Avon Hampshire|Mixed|FALSE|700to900|DrainedAr</t>
  </si>
  <si>
    <t>Avon Hampshire|Mixed|TRUE|700to900|DrainedAr</t>
  </si>
  <si>
    <t>Avon Hampshire|Mixed|FALSE|700to900|DrainedArGr</t>
  </si>
  <si>
    <t>Avon Hampshire|Mixed|TRUE|700to900|DrainedArGr</t>
  </si>
  <si>
    <t>Avon Hampshire|Mixed|TRUE|900to1200|FreeDrain</t>
  </si>
  <si>
    <t>Mixed|900to1200</t>
  </si>
  <si>
    <t>Avon Hampshire|Mixed|TRUE|900to1200|DrainedAr</t>
  </si>
  <si>
    <t>Avon Hampshire|Mixed|FALSE|900to1200|DrainedArGr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</si>
  <si>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</si>
  <si>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</si>
  <si>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</si>
  <si>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</si>
  <si>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</si>
  <si>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</si>
  <si>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</si>
  <si>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</si>
  <si>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Cereals|TRUE|900to1200|DrainedAr</t>
  </si>
  <si>
    <t>Cereals|FALSE|900to1200|DrainedArGr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</si>
  <si>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</si>
  <si>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</si>
  <si>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</si>
  <si>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</si>
  <si>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</si>
  <si>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</si>
  <si>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</si>
  <si>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</si>
  <si>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General|TRUE|900to1200|DrainedAr</t>
  </si>
  <si>
    <t>General|FALSE|900to1200|DrainedArGr</t>
  </si>
  <si>
    <t>General|TRUE|900to1200|DrainedArGr</t>
  </si>
  <si>
    <t>Horticulture|FALSE|700to900|FreeDrain</t>
  </si>
  <si>
    <t>Horticulture|TRUE|700to900|FreeDrain</t>
  </si>
  <si>
    <t>Horticulture|FALSE|700to900|DrainedAr</t>
  </si>
  <si>
    <t>Horticulture|TRUE|700to900|DrainedAr</t>
  </si>
  <si>
    <t>Horticulture|FALSE|700to900|DrainedArGr</t>
  </si>
  <si>
    <t>Horticulture|TRUE|900to1200|FreeDrain</t>
  </si>
  <si>
    <t>Pig|FALSE|700to900|FreeDrain</t>
  </si>
  <si>
    <t>Pig|TRUE|700to900|FreeDrain</t>
  </si>
  <si>
    <t>Pig|FALSE|700to900|DrainedAr</t>
  </si>
  <si>
    <t>Pig|FALSE|900to1200|FreeDrain</t>
  </si>
  <si>
    <t>Pig|TRUE|900to1200|FreeDrain</t>
  </si>
  <si>
    <t>Poultry|FALSE|700to900|FreeDrain</t>
  </si>
  <si>
    <t>Poultry|TRUE|700to900|FreeDrain</t>
  </si>
  <si>
    <t>Poultry|FALSE|700to900|DrainedAr</t>
  </si>
  <si>
    <t>Poultry|TRUE|700to900|DrainedAr</t>
  </si>
  <si>
    <t>Poultry|TRUE|700to900|DrainedArGr</t>
  </si>
  <si>
    <t>Poultry|TRUE|900to1200|FreeDrain</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</si>
  <si>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</si>
  <si>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</si>
  <si>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</si>
  <si>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</si>
  <si>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</si>
  <si>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</si>
  <si>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</si>
  <si>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</si>
  <si>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</si>
  <si>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</si>
  <si>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</si>
  <si>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</si>
  <si>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</si>
  <si>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</si>
  <si>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</si>
  <si>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</si>
  <si>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</si>
  <si>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</si>
  <si>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</si>
  <si>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</si>
  <si>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Mixed|FALSE|700to900|FreeDrain</t>
  </si>
  <si>
    <t>Mixed|TRUE|700to900|FreeDrain</t>
  </si>
  <si>
    <t>Mixed|FALSE|700to900|DrainedAr</t>
  </si>
  <si>
    <t>Mixed|TRUE|700to900|DrainedAr</t>
  </si>
  <si>
    <t>Mixed|FALSE|700to900|DrainedArGr</t>
  </si>
  <si>
    <t>Mixed|TRUE|700to900|DrainedArGr</t>
  </si>
  <si>
    <t>Mixed|TRUE|900to1200|FreeDrain</t>
  </si>
  <si>
    <t>Mixed|TRUE|900to1200|DrainedAr</t>
  </si>
  <si>
    <t>Mixed|FALSE|900to1200|DrainedArGr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</si>
  <si>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</si>
  <si>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</si>
  <si>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</si>
  <si>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</si>
  <si>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</si>
  <si>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</si>
  <si>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</si>
  <si>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</si>
  <si>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</si>
  <si>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</si>
  <si>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</si>
  <si>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</si>
  <si>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</si>
  <si>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</si>
  <si>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</si>
  <si>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</si>
  <si>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</si>
  <si>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</si>
  <si>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</si>
  <si>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</si>
  <si>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</si>
  <si>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</si>
  <si>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</si>
  <si>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</si>
  <si>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</si>
  <si>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</si>
  <si>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</si>
  <si>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</si>
  <si>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</si>
  <si>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</si>
  <si>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</si>
  <si>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</si>
  <si>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</si>
  <si>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</si>
  <si>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</si>
  <si>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</si>
  <si>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</si>
  <si>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</si>
  <si>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</si>
  <si>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</si>
  <si>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</si>
  <si>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</si>
  <si>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</si>
  <si>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</si>
  <si>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</si>
  <si>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</si>
  <si>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</si>
  <si>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</si>
  <si>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</si>
  <si>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</si>
  <si>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</si>
  <si>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</si>
  <si>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</si>
  <si>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</si>
  <si>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</si>
  <si>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</si>
  <si>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</si>
  <si>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</si>
  <si>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</si>
  <si>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</si>
  <si>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</si>
  <si>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</si>
  <si>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</si>
  <si>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</si>
  <si>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</si>
  <si>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</si>
  <si>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</si>
  <si>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</si>
  <si>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</si>
  <si>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</si>
  <si>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</si>
  <si>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Avon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</si>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</sst>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u/>
      <sz val="12"/>
      <color theme="10"/>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2EFDA"/>
        <bgColor indexed="64"/>
      </patternFill>
    </fill>
  </fills>
  <borders count="25">
    <border>
      <left/>
      <right/>
      <top/>
      <bottom/>
      <diagonal/>
    </border>
    <border>
      <left style="thick">
        <color rgb="FF449669"/>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right/>
      <top/>
      <bottom style="thin">
        <color theme="0" tint="-0.14999847407452621"/>
      </bottom>
      <diagonal/>
    </border>
    <border>
      <left style="thin">
        <color auto="1"/>
      </left>
      <right/>
      <top/>
      <bottom style="thin">
        <color indexed="64"/>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theme="1"/>
      </left>
      <right style="thin">
        <color theme="1"/>
      </right>
      <top/>
      <bottom style="thin">
        <color theme="1"/>
      </bottom>
      <diagonal/>
    </border>
    <border>
      <left/>
      <right/>
      <top style="thin">
        <color indexed="64"/>
      </top>
      <bottom/>
      <diagonal/>
    </border>
    <border>
      <left/>
      <right/>
      <top style="thin">
        <color theme="1"/>
      </top>
      <bottom/>
      <diagonal/>
    </border>
    <border>
      <left style="thin">
        <color indexed="64"/>
      </left>
      <right/>
      <top/>
      <bottom style="thin">
        <color theme="1"/>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style="thin">
        <color theme="0" tint="-0.14999847407452621"/>
      </right>
      <top/>
      <bottom style="thin">
        <color theme="0" tint="-0.14999847407452621"/>
      </bottom>
      <diagonal/>
    </border>
  </borders>
  <cellStyleXfs count="4">
    <xf numFmtId="0" fontId="0" fillId="0" borderId="0"/>
    <xf numFmtId="0" fontId="2" fillId="0" borderId="0" applyNumberFormat="0" applyFill="0" applyBorder="0" applyAlignment="0" applyProtection="0"/>
    <xf numFmtId="0" fontId="15" fillId="0" borderId="3" applyNumberFormat="0" applyFill="0" applyBorder="0" applyAlignment="0" applyProtection="0"/>
    <xf numFmtId="0" fontId="16" fillId="0" borderId="7" applyNumberFormat="0" applyFill="0" applyBorder="0" applyAlignment="0" applyProtection="0"/>
  </cellStyleXfs>
  <cellXfs count="120">
    <xf numFmtId="0" fontId="0" fillId="0" borderId="0" xfId="0"/>
    <xf numFmtId="0" fontId="16" fillId="2" borderId="19" xfId="3" applyFill="1" applyBorder="1" applyAlignment="1" applyProtection="1">
      <alignment horizontal="left" wrapText="1"/>
    </xf>
    <xf numFmtId="0" fontId="9" fillId="0" borderId="0" xfId="0" applyFont="1" applyAlignment="1">
      <alignment horizontal="left" vertical="center" wrapText="1"/>
    </xf>
    <xf numFmtId="0" fontId="13" fillId="0" borderId="0" xfId="0" applyFont="1" applyAlignment="1">
      <alignment horizontal="left" vertical="center" wrapText="1"/>
    </xf>
    <xf numFmtId="0" fontId="9" fillId="3" borderId="8" xfId="0" applyFont="1" applyFill="1" applyBorder="1" applyAlignment="1" applyProtection="1">
      <alignment horizontal="left" vertical="center" wrapText="1"/>
      <protection locked="0"/>
    </xf>
    <xf numFmtId="2" fontId="9" fillId="2" borderId="14" xfId="0" applyNumberFormat="1"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18" xfId="0" applyFont="1" applyBorder="1" applyAlignment="1">
      <alignment horizontal="left" vertical="center" wrapText="1"/>
    </xf>
    <xf numFmtId="0" fontId="9" fillId="0" borderId="17" xfId="0" applyFont="1" applyBorder="1" applyAlignment="1">
      <alignment horizontal="left" vertical="center" wrapText="1"/>
    </xf>
    <xf numFmtId="0" fontId="9" fillId="0" borderId="8" xfId="0" applyFont="1" applyBorder="1" applyAlignment="1">
      <alignment horizontal="left" vertical="center" wrapText="1"/>
    </xf>
    <xf numFmtId="0" fontId="7" fillId="4" borderId="0" xfId="0" applyFont="1" applyFill="1" applyAlignment="1">
      <alignment horizontal="left" vertical="center" wrapText="1"/>
    </xf>
    <xf numFmtId="0" fontId="16" fillId="0" borderId="0" xfId="3" applyBorder="1" applyAlignment="1" applyProtection="1">
      <alignment horizontal="left" vertical="center" wrapText="1"/>
    </xf>
    <xf numFmtId="0" fontId="15" fillId="0" borderId="0" xfId="2" applyBorder="1" applyAlignment="1" applyProtection="1">
      <alignment horizontal="left" vertical="center"/>
    </xf>
    <xf numFmtId="0" fontId="10" fillId="4" borderId="2" xfId="0" applyFont="1" applyFill="1" applyBorder="1" applyAlignment="1">
      <alignment horizontal="left" vertical="center" wrapText="1"/>
    </xf>
    <xf numFmtId="0" fontId="15" fillId="0" borderId="1" xfId="2" applyFill="1" applyBorder="1" applyAlignment="1" applyProtection="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center" wrapText="1"/>
    </xf>
    <xf numFmtId="0" fontId="5" fillId="0" borderId="0" xfId="0" applyFont="1" applyAlignment="1">
      <alignment horizontal="left" vertical="center" wrapText="1"/>
    </xf>
    <xf numFmtId="2" fontId="9" fillId="3" borderId="0" xfId="0" applyNumberFormat="1" applyFont="1" applyFill="1" applyAlignment="1" applyProtection="1">
      <alignment horizontal="left" vertical="center" wrapText="1"/>
      <protection locked="0"/>
    </xf>
    <xf numFmtId="2" fontId="9" fillId="3" borderId="2" xfId="0" applyNumberFormat="1" applyFont="1" applyFill="1" applyBorder="1" applyAlignment="1" applyProtection="1">
      <alignment horizontal="left" vertical="center" wrapText="1"/>
      <protection locked="0"/>
    </xf>
    <xf numFmtId="0" fontId="10" fillId="2" borderId="4" xfId="0" applyFont="1" applyFill="1" applyBorder="1" applyAlignment="1">
      <alignment horizontal="left" vertical="center" wrapText="1"/>
    </xf>
    <xf numFmtId="2" fontId="10" fillId="2" borderId="4" xfId="0" applyNumberFormat="1" applyFont="1" applyFill="1" applyBorder="1" applyAlignment="1">
      <alignment horizontal="left" vertical="center" wrapText="1"/>
    </xf>
    <xf numFmtId="0" fontId="10" fillId="0" borderId="0" xfId="0" applyFont="1" applyAlignment="1">
      <alignment horizontal="left" vertical="center" wrapText="1"/>
    </xf>
    <xf numFmtId="0" fontId="16" fillId="0" borderId="0" xfId="3" applyFill="1" applyBorder="1" applyAlignment="1" applyProtection="1">
      <alignment horizontal="left" vertical="center" wrapText="1"/>
    </xf>
    <xf numFmtId="0" fontId="11" fillId="0" borderId="0" xfId="1" applyFont="1" applyFill="1" applyAlignment="1" applyProtection="1">
      <alignment horizontal="left" vertical="center" wrapText="1"/>
    </xf>
    <xf numFmtId="0" fontId="9" fillId="2" borderId="15" xfId="0" applyFont="1" applyFill="1" applyBorder="1" applyAlignment="1">
      <alignment horizontal="left" vertical="center" wrapText="1"/>
    </xf>
    <xf numFmtId="0" fontId="4" fillId="0" borderId="0" xfId="0" applyFont="1" applyAlignment="1">
      <alignment horizontal="left" vertical="center" wrapText="1"/>
    </xf>
    <xf numFmtId="14" fontId="9" fillId="3" borderId="14" xfId="0" applyNumberFormat="1" applyFont="1" applyFill="1" applyBorder="1" applyAlignment="1" applyProtection="1">
      <alignment horizontal="left" vertical="center" wrapText="1"/>
      <protection locked="0"/>
    </xf>
    <xf numFmtId="2" fontId="9" fillId="3" borderId="14" xfId="0" applyNumberFormat="1"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0" fontId="10" fillId="5" borderId="11"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9" fillId="0" borderId="0" xfId="0" applyFont="1" applyAlignment="1">
      <alignment horizontal="left" vertical="top" wrapText="1"/>
    </xf>
    <xf numFmtId="0" fontId="13" fillId="4" borderId="2" xfId="0" applyFont="1" applyFill="1" applyBorder="1" applyAlignment="1">
      <alignment horizontal="left" vertical="center" wrapText="1"/>
    </xf>
    <xf numFmtId="0" fontId="13" fillId="3" borderId="2" xfId="0" applyFont="1" applyFill="1" applyBorder="1" applyAlignment="1" applyProtection="1">
      <alignment horizontal="left" vertical="center" wrapText="1"/>
      <protection locked="0"/>
    </xf>
    <xf numFmtId="0" fontId="13" fillId="0" borderId="8" xfId="0" applyFont="1" applyBorder="1" applyAlignment="1">
      <alignment horizontal="left" vertical="center" wrapText="1"/>
    </xf>
    <xf numFmtId="0" fontId="18" fillId="0" borderId="0" xfId="0" applyFont="1" applyAlignment="1">
      <alignment horizontal="left" vertical="center" wrapText="1"/>
    </xf>
    <xf numFmtId="0" fontId="6" fillId="0" borderId="0" xfId="0" applyFont="1" applyAlignment="1">
      <alignment horizontal="left" wrapText="1"/>
    </xf>
    <xf numFmtId="0" fontId="17" fillId="0" borderId="0" xfId="0" applyFont="1" applyAlignment="1">
      <alignment horizontal="left" wrapText="1"/>
    </xf>
    <xf numFmtId="2" fontId="7" fillId="0" borderId="0" xfId="0" applyNumberFormat="1" applyFont="1" applyAlignment="1">
      <alignment horizontal="left" vertical="center" wrapText="1"/>
    </xf>
    <xf numFmtId="0" fontId="6" fillId="0" borderId="0" xfId="0" applyFont="1" applyAlignment="1">
      <alignment horizontal="left" vertical="center" wrapText="1"/>
    </xf>
    <xf numFmtId="2" fontId="7" fillId="0" borderId="2" xfId="0" applyNumberFormat="1" applyFont="1" applyBorder="1" applyAlignment="1">
      <alignment horizontal="left" vertical="center" wrapText="1"/>
    </xf>
    <xf numFmtId="0" fontId="3" fillId="0" borderId="0" xfId="0" applyFont="1" applyAlignment="1">
      <alignment horizontal="left" wrapText="1"/>
    </xf>
    <xf numFmtId="0" fontId="7" fillId="0" borderId="0" xfId="0" applyFont="1" applyAlignment="1">
      <alignment horizontal="left" vertical="center" wrapText="1"/>
    </xf>
    <xf numFmtId="0" fontId="10" fillId="5" borderId="5" xfId="0" applyFont="1" applyFill="1" applyBorder="1" applyAlignment="1">
      <alignment horizontal="left" vertical="center" wrapText="1"/>
    </xf>
    <xf numFmtId="0" fontId="15" fillId="0" borderId="9" xfId="2" applyFill="1" applyBorder="1" applyAlignment="1" applyProtection="1">
      <alignment horizontal="left" vertical="center" wrapText="1"/>
    </xf>
    <xf numFmtId="0" fontId="1" fillId="0" borderId="0" xfId="0" applyFont="1" applyAlignment="1">
      <alignment horizontal="left" wrapText="1"/>
    </xf>
    <xf numFmtId="0" fontId="16" fillId="0" borderId="6" xfId="3" applyFill="1" applyBorder="1" applyAlignment="1" applyProtection="1">
      <alignment horizontal="left" wrapText="1"/>
    </xf>
    <xf numFmtId="14" fontId="9" fillId="3" borderId="2" xfId="0" applyNumberFormat="1"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 fillId="0" borderId="24" xfId="0" applyFont="1" applyBorder="1" applyAlignment="1">
      <alignment horizontal="left" wrapText="1"/>
    </xf>
    <xf numFmtId="0" fontId="9" fillId="2" borderId="16" xfId="0" applyFont="1" applyFill="1" applyBorder="1" applyAlignment="1">
      <alignment horizontal="left" vertical="center" wrapText="1"/>
    </xf>
    <xf numFmtId="0" fontId="10" fillId="2" borderId="20" xfId="0" applyFont="1" applyFill="1" applyBorder="1" applyAlignment="1">
      <alignment horizontal="left" vertical="center" wrapText="1"/>
    </xf>
    <xf numFmtId="2" fontId="10" fillId="2" borderId="21" xfId="0" applyNumberFormat="1" applyFont="1" applyFill="1" applyBorder="1" applyAlignment="1">
      <alignment horizontal="left" vertical="center" wrapText="1"/>
    </xf>
    <xf numFmtId="2" fontId="10" fillId="2" borderId="22" xfId="0" applyNumberFormat="1" applyFont="1" applyFill="1" applyBorder="1" applyAlignment="1">
      <alignment horizontal="left" vertical="center" wrapText="1"/>
    </xf>
    <xf numFmtId="0" fontId="15" fillId="0" borderId="12" xfId="2" applyFill="1" applyBorder="1" applyAlignment="1" applyProtection="1">
      <alignment horizontal="left" vertical="center" wrapText="1"/>
    </xf>
    <xf numFmtId="0" fontId="18" fillId="0" borderId="12" xfId="0" applyFont="1" applyBorder="1" applyAlignment="1">
      <alignment horizontal="left" vertical="center" wrapText="1"/>
    </xf>
    <xf numFmtId="0" fontId="19" fillId="0" borderId="0" xfId="0" applyFont="1" applyAlignment="1">
      <alignment horizontal="left" vertical="center" wrapText="1"/>
    </xf>
    <xf numFmtId="0" fontId="7" fillId="4" borderId="8" xfId="0" applyFont="1" applyFill="1" applyBorder="1" applyAlignment="1">
      <alignment horizontal="left" vertical="center" wrapText="1"/>
    </xf>
    <xf numFmtId="2" fontId="7" fillId="2" borderId="14" xfId="0" applyNumberFormat="1" applyFont="1" applyFill="1" applyBorder="1" applyAlignment="1">
      <alignment horizontal="left" vertical="center" wrapText="1"/>
    </xf>
    <xf numFmtId="0" fontId="13" fillId="0" borderId="5" xfId="0" applyFont="1" applyBorder="1" applyAlignment="1">
      <alignment horizontal="left" vertical="center" wrapText="1"/>
    </xf>
    <xf numFmtId="0" fontId="3" fillId="0" borderId="0" xfId="0" applyFont="1" applyAlignment="1">
      <alignment horizontal="left" vertical="center" wrapText="1"/>
    </xf>
    <xf numFmtId="0" fontId="10" fillId="4" borderId="11" xfId="0" applyFont="1" applyFill="1" applyBorder="1" applyAlignment="1">
      <alignment horizontal="left" vertical="center"/>
    </xf>
    <xf numFmtId="0" fontId="10" fillId="4" borderId="23" xfId="0" applyFont="1" applyFill="1" applyBorder="1" applyAlignment="1">
      <alignment horizontal="left" wrapText="1"/>
    </xf>
    <xf numFmtId="0" fontId="6" fillId="0" borderId="13" xfId="0" applyFont="1" applyBorder="1" applyAlignment="1">
      <alignment horizontal="left" vertical="center" wrapText="1"/>
    </xf>
    <xf numFmtId="0" fontId="10" fillId="4" borderId="23" xfId="0" applyFont="1" applyFill="1" applyBorder="1" applyAlignment="1">
      <alignment horizontal="left" vertical="center" wrapText="1"/>
    </xf>
    <xf numFmtId="2" fontId="10" fillId="2" borderId="14" xfId="0" applyNumberFormat="1" applyFont="1" applyFill="1" applyBorder="1" applyAlignment="1">
      <alignment horizontal="left" vertical="center" wrapText="1"/>
    </xf>
    <xf numFmtId="0" fontId="7" fillId="5" borderId="11" xfId="0" applyFont="1" applyFill="1" applyBorder="1" applyAlignment="1">
      <alignment horizontal="left" vertical="center"/>
    </xf>
    <xf numFmtId="0" fontId="7" fillId="5" borderId="10" xfId="0" applyFont="1" applyFill="1" applyBorder="1" applyAlignment="1">
      <alignment horizontal="left" vertical="center"/>
    </xf>
    <xf numFmtId="0" fontId="10" fillId="4" borderId="11" xfId="0" applyFont="1" applyFill="1" applyBorder="1" applyAlignment="1">
      <alignment horizontal="left" vertical="center" wrapText="1"/>
    </xf>
    <xf numFmtId="0" fontId="9" fillId="0" borderId="2" xfId="0" applyFont="1" applyBorder="1" applyAlignment="1">
      <alignment horizontal="left" vertical="center" wrapText="1"/>
    </xf>
    <xf numFmtId="0" fontId="14" fillId="0" borderId="2" xfId="1" applyFont="1" applyBorder="1" applyAlignment="1" applyProtection="1">
      <alignment horizontal="left" vertical="center" wrapText="1"/>
    </xf>
    <xf numFmtId="0" fontId="14" fillId="0" borderId="0" xfId="1" applyFont="1" applyBorder="1" applyAlignment="1" applyProtection="1">
      <alignment horizontal="left" vertical="center" wrapText="1"/>
    </xf>
    <xf numFmtId="0" fontId="7" fillId="4" borderId="2" xfId="0" applyFont="1" applyFill="1" applyBorder="1" applyAlignment="1">
      <alignment horizontal="left" vertical="center" wrapText="1"/>
    </xf>
    <xf numFmtId="2" fontId="13" fillId="3" borderId="2" xfId="0" applyNumberFormat="1" applyFont="1" applyFill="1" applyBorder="1" applyAlignment="1" applyProtection="1">
      <alignment horizontal="left" vertical="center" wrapText="1"/>
      <protection locked="0"/>
    </xf>
    <xf numFmtId="2" fontId="10" fillId="0" borderId="0" xfId="0" applyNumberFormat="1" applyFont="1" applyAlignment="1">
      <alignment horizontal="left" vertical="center" wrapText="1"/>
    </xf>
    <xf numFmtId="2" fontId="7" fillId="4" borderId="0" xfId="0" applyNumberFormat="1" applyFont="1" applyFill="1" applyAlignment="1">
      <alignment horizontal="left" vertical="center" wrapText="1"/>
    </xf>
    <xf numFmtId="0" fontId="20" fillId="0" borderId="0" xfId="0" applyFont="1" applyAlignment="1">
      <alignment horizontal="left" vertical="center" wrapText="1"/>
    </xf>
    <xf numFmtId="0" fontId="6" fillId="0" borderId="0" xfId="0" applyFont="1" applyAlignment="1">
      <alignment horizontal="left" vertical="center"/>
    </xf>
    <xf numFmtId="0" fontId="21" fillId="0" borderId="0" xfId="0" applyFont="1" applyAlignment="1">
      <alignment horizontal="left" vertical="center" wrapText="1"/>
    </xf>
    <xf numFmtId="0" fontId="7" fillId="4" borderId="23" xfId="0" applyFont="1" applyFill="1" applyBorder="1" applyAlignment="1">
      <alignment horizontal="left" vertical="center" wrapText="1"/>
    </xf>
    <xf numFmtId="0" fontId="6" fillId="4" borderId="0" xfId="0" applyFont="1" applyFill="1" applyAlignment="1">
      <alignment horizontal="left" vertical="center" wrapText="1"/>
    </xf>
    <xf numFmtId="0" fontId="13" fillId="6" borderId="2" xfId="0" applyFont="1" applyFill="1" applyBorder="1" applyAlignment="1" applyProtection="1">
      <alignment horizontal="left" vertical="center" wrapText="1"/>
      <protection locked="0"/>
    </xf>
    <xf numFmtId="0" fontId="13" fillId="6" borderId="0" xfId="0" applyFont="1" applyFill="1" applyAlignment="1" applyProtection="1">
      <alignment horizontal="left" vertical="center" wrapText="1"/>
      <protection locked="0"/>
    </xf>
    <xf numFmtId="0" fontId="13" fillId="0" borderId="17" xfId="0" applyFont="1" applyBorder="1" applyAlignment="1">
      <alignment horizontal="left" vertical="center" wrapText="1"/>
    </xf>
    <xf numFmtId="0" fontId="16" fillId="0" borderId="17" xfId="3" applyBorder="1" applyAlignment="1" applyProtection="1">
      <alignment horizontal="left" vertical="center" wrapText="1"/>
    </xf>
    <xf numFmtId="0" fontId="7" fillId="4" borderId="14" xfId="0" applyFont="1" applyFill="1" applyBorder="1" applyAlignment="1">
      <alignment horizontal="left" vertical="center" wrapText="1"/>
    </xf>
    <xf numFmtId="0" fontId="1" fillId="0" borderId="6" xfId="0" applyFont="1" applyBorder="1" applyAlignment="1">
      <alignment horizontal="left" wrapText="1"/>
    </xf>
    <xf numFmtId="0" fontId="10" fillId="4" borderId="8" xfId="0" applyFont="1" applyFill="1" applyBorder="1" applyAlignment="1">
      <alignment horizontal="left" vertical="center"/>
    </xf>
    <xf numFmtId="0" fontId="1" fillId="4" borderId="2" xfId="0" applyFont="1" applyFill="1" applyBorder="1" applyAlignment="1">
      <alignment horizontal="left" wrapText="1"/>
    </xf>
    <xf numFmtId="0" fontId="10" fillId="4" borderId="17" xfId="0" applyFont="1" applyFill="1" applyBorder="1" applyAlignment="1">
      <alignment horizontal="left" vertical="center"/>
    </xf>
    <xf numFmtId="2" fontId="10" fillId="4" borderId="21" xfId="0" applyNumberFormat="1" applyFont="1" applyFill="1" applyBorder="1" applyAlignment="1">
      <alignment horizontal="left" vertical="center" wrapText="1"/>
    </xf>
    <xf numFmtId="2" fontId="10" fillId="2" borderId="2" xfId="0" applyNumberFormat="1" applyFont="1" applyFill="1" applyBorder="1" applyAlignment="1">
      <alignment horizontal="left" vertical="center" wrapText="1"/>
    </xf>
    <xf numFmtId="2" fontId="9" fillId="0" borderId="17" xfId="0" applyNumberFormat="1" applyFont="1" applyBorder="1" applyAlignment="1" applyProtection="1">
      <alignment horizontal="left" vertical="center" wrapText="1"/>
      <protection locked="0"/>
    </xf>
    <xf numFmtId="0" fontId="16" fillId="0" borderId="17" xfId="3" applyFill="1" applyBorder="1" applyAlignment="1" applyProtection="1">
      <alignment horizontal="left" vertical="center" wrapText="1"/>
    </xf>
    <xf numFmtId="0" fontId="9" fillId="0" borderId="14" xfId="0" applyFont="1" applyBorder="1" applyAlignment="1">
      <alignment horizontal="left" wrapText="1"/>
    </xf>
    <xf numFmtId="0" fontId="9" fillId="0" borderId="14" xfId="0" applyFont="1" applyBorder="1" applyAlignment="1" applyProtection="1">
      <alignment horizontal="left" wrapText="1"/>
      <protection locked="0"/>
    </xf>
    <xf numFmtId="0" fontId="9" fillId="0" borderId="15" xfId="0" applyFont="1" applyBorder="1" applyAlignment="1">
      <alignment horizontal="left" wrapText="1"/>
    </xf>
    <xf numFmtId="2" fontId="7" fillId="2" borderId="15" xfId="0" applyNumberFormat="1" applyFont="1" applyFill="1" applyBorder="1" applyAlignment="1">
      <alignment horizontal="left" vertical="center" wrapText="1"/>
    </xf>
    <xf numFmtId="0" fontId="13" fillId="0" borderId="0" xfId="0" applyFont="1" applyAlignment="1">
      <alignment horizontal="left" vertical="top" wrapText="1"/>
    </xf>
    <xf numFmtId="0" fontId="10" fillId="4" borderId="10" xfId="1" applyFont="1" applyFill="1" applyBorder="1" applyAlignment="1" applyProtection="1">
      <alignment horizontal="left" vertical="center" wrapText="1"/>
    </xf>
    <xf numFmtId="0" fontId="14" fillId="0" borderId="14" xfId="1" applyFont="1" applyBorder="1" applyAlignment="1" applyProtection="1">
      <alignment horizontal="left" vertical="center" wrapText="1"/>
    </xf>
    <xf numFmtId="0" fontId="14" fillId="0" borderId="15" xfId="1" applyFont="1" applyBorder="1" applyAlignment="1" applyProtection="1">
      <alignment horizontal="left" vertical="center" wrapText="1"/>
    </xf>
    <xf numFmtId="0" fontId="16" fillId="0" borderId="0" xfId="3" applyFill="1" applyBorder="1" applyAlignment="1" applyProtection="1">
      <alignment horizontal="left" vertical="center"/>
    </xf>
    <xf numFmtId="0" fontId="15" fillId="0" borderId="0" xfId="2" applyFill="1" applyBorder="1" applyAlignment="1" applyProtection="1">
      <alignment horizontal="left" vertical="center"/>
    </xf>
    <xf numFmtId="0" fontId="13" fillId="0" borderId="0" xfId="0" applyFont="1" applyAlignment="1">
      <alignment wrapText="1"/>
    </xf>
    <xf numFmtId="0" fontId="13" fillId="0" borderId="0" xfId="0" applyFont="1"/>
    <xf numFmtId="0" fontId="22" fillId="0" borderId="0" xfId="0" applyFont="1" applyAlignment="1">
      <alignment horizontal="left" vertical="center" wrapText="1"/>
    </xf>
    <xf numFmtId="2" fontId="13" fillId="0" borderId="0" xfId="0" applyNumberFormat="1" applyFont="1" applyAlignment="1">
      <alignment horizontal="left" vertical="center" wrapText="1"/>
    </xf>
    <xf numFmtId="2" fontId="13" fillId="0" borderId="0" xfId="0" applyNumberFormat="1" applyFont="1" applyAlignment="1">
      <alignment horizontal="left" vertical="center"/>
    </xf>
    <xf numFmtId="0" fontId="13" fillId="0" borderId="0" xfId="0" applyFont="1" applyAlignment="1">
      <alignment horizontal="left" vertical="center"/>
    </xf>
    <xf numFmtId="0" fontId="22" fillId="0" borderId="0" xfId="0" applyFont="1" applyAlignment="1">
      <alignment horizontal="left" vertical="center"/>
    </xf>
    <xf numFmtId="49" fontId="13" fillId="0" borderId="0" xfId="0" applyNumberFormat="1" applyFont="1" applyAlignment="1">
      <alignment horizontal="left" vertical="center" wrapText="1"/>
    </xf>
    <xf numFmtId="0" fontId="9" fillId="0" borderId="0" xfId="0" applyFont="1" applyAlignment="1">
      <alignment horizontal="left" vertical="center"/>
    </xf>
    <xf numFmtId="2" fontId="9" fillId="0" borderId="0" xfId="0" applyNumberFormat="1" applyFont="1" applyAlignment="1">
      <alignment horizontal="left" vertical="center" wrapText="1"/>
    </xf>
    <xf numFmtId="0" fontId="13" fillId="0" borderId="0" xfId="0" applyFont="1" applyAlignment="1" applyProtection="1">
      <alignment horizontal="left" vertical="center" wrapText="1"/>
      <protection hidden="1"/>
    </xf>
    <xf numFmtId="2" fontId="22" fillId="0" borderId="0" xfId="0" applyNumberFormat="1" applyFont="1" applyAlignment="1">
      <alignment horizontal="left" vertical="center" wrapText="1"/>
    </xf>
    <xf numFmtId="0" fontId="19" fillId="0" borderId="0" xfId="0" applyFont="1" applyAlignment="1">
      <alignment vertical="center"/>
    </xf>
  </cellXfs>
  <cellStyles count="4">
    <cellStyle name="Heading 1" xfId="2" builtinId="16" customBuiltin="1"/>
    <cellStyle name="Heading 2" xfId="3" builtinId="17" customBuiltin="1"/>
    <cellStyle name="Hyperlink" xfId="1" builtinId="8"/>
    <cellStyle name="Normal" xfId="0" builtinId="0"/>
  </cellStyles>
  <dxfs count="115">
    <dxf>
      <font>
        <color theme="1"/>
      </font>
    </dxf>
    <dxf>
      <fill>
        <patternFill>
          <bgColor rgb="FFE2EFDA"/>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alignment horizontal="left" vertical="center" textRotation="0" wrapText="1" indent="0" justifyLastLine="0" shrinkToFit="0" readingOrder="0"/>
      <protection locked="1" hidden="0"/>
    </dxf>
    <dxf>
      <border outline="0">
        <bottom style="thin">
          <color indexed="64"/>
        </bottom>
      </border>
    </dxf>
    <dxf>
      <alignment horizontal="left" vertical="center" textRotation="0" indent="0" justifyLastLine="0" shrinkToFit="0" readingOrder="0"/>
      <protection locked="1" hidden="0"/>
    </dxf>
    <dxf>
      <numFmt numFmtId="0" formatCode="Genera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numFmt numFmtId="0" formatCode="General"/>
      <alignment horizontal="left" vertical="center" textRotation="0" wrapText="1" indent="0" justifyLastLine="0" shrinkToFit="0" readingOrder="0"/>
      <protection locked="1" hidden="0"/>
    </dxf>
    <dxf>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1" indent="0" justifyLastLine="0" shrinkToFit="0" readingOrder="0"/>
      <protection locked="1" hidden="0"/>
    </dxf>
    <dxf>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theme="1"/>
        </right>
        <top style="thin">
          <color auto="1"/>
        </top>
        <bottom/>
      </border>
      <protection locked="1" hidden="0"/>
    </dxf>
    <dxf>
      <alignment horizontal="left" textRotation="0" indent="0" justifyLastLine="0" shrinkToFit="0" readingOrder="0"/>
      <protection locked="1" hidden="0"/>
    </dxf>
    <dxf>
      <border outline="0">
        <left style="thin">
          <color auto="1"/>
        </left>
        <top style="thin">
          <color auto="1"/>
        </top>
        <bottom style="thin">
          <color indexed="64"/>
        </bottom>
      </border>
    </dxf>
    <dxf>
      <alignment horizontal="left" textRotation="0" indent="0" justifyLastLine="0" shrinkToFit="0" readingOrder="0"/>
      <protection locked="1" hidden="0"/>
    </dxf>
    <dxf>
      <border outline="0">
        <bottom style="thin">
          <color auto="1"/>
        </bottom>
      </border>
    </dxf>
    <dxf>
      <fill>
        <patternFill patternType="solid">
          <fgColor indexed="64"/>
          <bgColor theme="2"/>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textRotation="0" indent="0" justifyLastLine="0" shrinkToFit="0" readingOrder="0"/>
      <protection locked="1" hidden="0"/>
    </dxf>
    <dxf>
      <border>
        <bottom style="thin">
          <color indexed="64"/>
        </bottom>
      </border>
    </dxf>
    <dxf>
      <font>
        <b/>
      </font>
      <alignment horizontal="left" textRotation="0" indent="0" justifyLastLine="0" shrinkToFit="0" readingOrder="0"/>
      <border diagonalUp="0" diagonalDown="0">
        <left style="thin">
          <color indexed="64"/>
        </left>
        <right style="thin">
          <color indexed="64"/>
        </right>
        <top/>
        <bottom/>
      </border>
      <protection locked="1" hidden="0"/>
    </dxf>
    <dxf>
      <font>
        <strike val="0"/>
        <outline val="0"/>
        <shadow val="0"/>
        <vertAlign val="baseline"/>
        <sz val="12"/>
        <name val="Arial"/>
        <family val="2"/>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2"/>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vertAlign val="baseline"/>
        <name val="Arial"/>
        <family val="2"/>
        <scheme val="none"/>
      </font>
      <alignment horizontal="left" vertical="center" textRotation="0" indent="0" justifyLastLine="0" shrinkToFit="0" readingOrder="0"/>
    </dxf>
    <dxf>
      <font>
        <b/>
        <strike val="0"/>
        <outline val="0"/>
        <shadow val="0"/>
        <vertAlign val="baseline"/>
        <name val="Arial"/>
        <family val="2"/>
        <scheme val="none"/>
      </font>
      <fill>
        <patternFill patternType="solid">
          <fgColor indexed="64"/>
          <bgColor theme="2"/>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EDEDED"/>
      <color rgb="FFE2EFDA"/>
      <color rgb="FF000000"/>
      <color rgb="FF449669"/>
      <color rgb="FFF7E8BE"/>
      <color rgb="FF9DD3BE"/>
      <color rgb="FFAAC7EE"/>
      <color rgb="FFF3EEDD"/>
      <color rgb="FF9DDBBE"/>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BF9311-A278-4083-BF4D-937B4AAC2ED7}" name="Table_1_Links" displayName="Table_1_Links" ref="A9:B15" totalsRowShown="0" headerRowDxfId="114" dataDxfId="113">
  <autoFilter ref="A9:B15" xr:uid="{7EBF9311-A278-4083-BF4D-937B4AAC2ED7}">
    <filterColumn colId="0" hiddenButton="1"/>
    <filterColumn colId="1" hiddenButton="1"/>
  </autoFilter>
  <tableColumns count="2">
    <tableColumn id="1" xr3:uid="{EC08AA9D-D8AA-4D04-81C0-5F70E5CFF32B}" name="Topic of each table" dataDxfId="112"/>
    <tableColumn id="2" xr3:uid="{8626C486-F03D-46F8-B4FF-6F484971E7CB}" name="Link to each worksheet" dataDxfId="111"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40:A257" totalsRowShown="0" headerRowDxfId="51" dataDxfId="50">
  <autoFilter ref="A240:A257" xr:uid="{27E373C5-D0CE-42F2-9526-68F6C3493A4E}">
    <filterColumn colId="0" hiddenButton="1"/>
  </autoFilter>
  <tableColumns count="1">
    <tableColumn id="1" xr3:uid="{53B368C1-8BC9-40BE-BF12-2BD44CBABE8A}" name="All Possible Landcover Types" dataDxfId="49"/>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35:B237" totalsRowShown="0" headerRowDxfId="48" dataDxfId="47">
  <autoFilter ref="A235:B237" xr:uid="{92ED230A-D03F-4AFE-B6E2-A2C0CA247A6E}">
    <filterColumn colId="0" hiddenButton="1"/>
    <filterColumn colId="1" hiddenButton="1"/>
  </autoFilter>
  <tableColumns count="2">
    <tableColumn id="1" xr3:uid="{733091DA-D7C2-4BC5-B808-44E4059922C0}" name="NVZ" dataDxfId="46"/>
    <tableColumn id="2" xr3:uid="{F0C58FBC-95F8-49DE-8689-2F83AB0C11EB}" name="Farmscoper equivalent" dataDxfId="45"/>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26:C232" totalsRowShown="0" headerRowDxfId="44" dataDxfId="43">
  <autoFilter ref="A226:C232" xr:uid="{1A6CB2E1-69B4-4AD4-994C-659133C27DDB}">
    <filterColumn colId="0" hiddenButton="1"/>
    <filterColumn colId="1" hiddenButton="1"/>
    <filterColumn colId="2" hiddenButton="1"/>
  </autoFilter>
  <tableColumns count="3">
    <tableColumn id="1" xr3:uid="{22766906-A0A6-4E97-AF30-1597153F0350}" name="Soilscape drainage term" dataDxfId="42"/>
    <tableColumn id="2" xr3:uid="{F002BB36-823A-4836-A21B-B579E90BABD3}" name="Farmscoper term" dataDxfId="41"/>
    <tableColumn id="3" xr3:uid="{9175DC56-F38C-4D28-A172-11226D1D23E9}" name="Definition" dataDxfId="40"/>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22:B223" totalsRowShown="0" headerRowDxfId="39" dataDxfId="38">
  <autoFilter ref="A222:B223" xr:uid="{91B3FB2B-EB57-4104-B68D-005ACE17DAAA}">
    <filterColumn colId="0" hiddenButton="1"/>
    <filterColumn colId="1" hiddenButton="1"/>
  </autoFilter>
  <tableColumns count="2">
    <tableColumn id="1" xr3:uid="{89EA0223-64FE-4218-878D-A564ADBADDD1}" name="Operational Catchment" dataDxfId="37"/>
    <tableColumn id="2" xr3:uid="{EFCB9C34-1A22-413A-B569-EB7D0539CE10}" name="Farmscoper equivalent" dataDxfId="36"/>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96:K219" totalsRowShown="0" headerRowDxfId="35" dataDxfId="34">
  <autoFilter ref="A196:K219"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3"/>
    <tableColumn id="2" xr3:uid="{6314E66D-7991-4DDA-9A1D-1FE2961CCE28}" name="Mid" dataDxfId="32"/>
    <tableColumn id="3" xr3:uid="{0B72D170-B3FB-410B-B94E-238D55DCBE68}" name="Farmscoper Equivalent" dataDxfId="31"/>
    <tableColumn id="4" xr3:uid="{0F992BC0-BDCD-49A0-800D-DE9390E83D4D}" name="P Urban Runoff Coefficient " dataDxfId="30"/>
    <tableColumn id="5" xr3:uid="{CC4E8ED1-10B1-497F-85BB-B21C5930A734}" name="N Urban Runoff Coefficient (kg/ha/yr)" dataDxfId="29"/>
    <tableColumn id="6" xr3:uid="{8AA02858-4B6E-42E1-8EB2-D3C4BAB72698}" name="Residential P export coefficient (kg/ha/yr)" dataDxfId="28"/>
    <tableColumn id="7" xr3:uid="{24BE5444-EEC8-44A1-8B49-79261DDC1D84}" name="Commercial / industrial P export coefficient (kg/ha/yr)" dataDxfId="27"/>
    <tableColumn id="8" xr3:uid="{3D907FB1-AFBD-4D65-A7C1-7FCBDBA7E010}" name="Open urban P export coefficient (kg/ha/yr)" dataDxfId="26"/>
    <tableColumn id="9" xr3:uid="{659D953B-CEE1-475B-B79F-09EDE2124F89}" name="Residential P export coefficient (kg/ha/yr)2" dataDxfId="25"/>
    <tableColumn id="10" xr3:uid="{B077E248-9579-43F2-9FD4-BCCA722D6FC1}" name="Commercial / industrial P export coefficient (kg/ha/yr)3" dataDxfId="24"/>
    <tableColumn id="11" xr3:uid="{106BF2CF-BA30-4A6D-AF89-E886BEBDE8D6}" name="Open urban P export coefficient (kg/ha/yr)4" dataDxfId="23"/>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51:M193" totalsRowShown="0" headerRowDxfId="22" dataDxfId="21">
  <autoFilter ref="A51:M193"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0"/>
    <tableColumn id="2" xr3:uid="{B8D75754-E7F8-4B85-993C-7907E45F1CAE}" name="Farmscoper Farm Term" dataDxfId="19"/>
    <tableColumn id="3" xr3:uid="{EC77A0A4-C437-4818-A316-7C71A29A7121}" name="NVZ" dataDxfId="18"/>
    <tableColumn id="4" xr3:uid="{B98F73F4-9677-4844-877F-8A359508FB3B}" name="Climate" dataDxfId="17"/>
    <tableColumn id="5" xr3:uid="{7C621915-7D3D-4055-8347-C883D9EE99FE}" name="Farmscoper Soil Drainage Term" dataDxfId="16"/>
    <tableColumn id="6" xr3:uid="{4C66E893-8377-439B-93D4-1CE695F419C9}" name="Lookup" dataDxfId="15">
      <calculatedColumnFormula>"|"&amp;"|"&amp;"|"&amp;E52</calculatedColumnFormula>
    </tableColumn>
    <tableColumn id="7" xr3:uid="{CF6B9BF0-3AFB-4049-8321-66DDFD8F9508}" name="Column3" dataDxfId="14"/>
    <tableColumn id="8" xr3:uid="{EBD2571A-6A4E-4448-BEB2-CCC5A7E48254}" name="Phosphorus export coefficient" dataDxfId="13"/>
    <tableColumn id="9" xr3:uid="{96CC571C-13E4-474B-8016-76B1B26E6BAE}" name="Farm Lookup" dataDxfId="12"/>
    <tableColumn id="10" xr3:uid="{511A3753-F9BA-45C6-B34A-6CC17D10251D}" name="Column1" dataDxfId="11"/>
    <tableColumn id="11" xr3:uid="{A4A4CA5F-B40A-4D96-B1F7-2F58E7D4D811}" name="Mean P export of farm type and climate combination" dataDxfId="10"/>
    <tableColumn id="12" xr3:uid="{6A6F3AA5-4A40-440E-9BBC-E26F5AF39750}" name="Column2" dataDxfId="9"/>
    <tableColumn id="13" xr3:uid="{EF05C3C7-DB49-4B8E-8C81-E6CFAC3E3633}" name="Mean P export of farm type" dataDxfId="8"/>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48" totalsRowShown="0" headerRowDxfId="7" dataDxfId="6">
  <autoFilter ref="A4:D4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4981484-4795-461F-A3C7-626CD012A06C}" name="Table_2_Links" displayName="Table_2_Links" ref="A40:B44" totalsRowShown="0" headerRowDxfId="110" dataDxfId="108" headerRowBorderDxfId="109" tableBorderDxfId="107" totalsRowBorderDxfId="106">
  <autoFilter ref="A40:B44" xr:uid="{64981484-4795-461F-A3C7-626CD012A06C}">
    <filterColumn colId="0" hiddenButton="1"/>
    <filterColumn colId="1" hiddenButton="1"/>
  </autoFilter>
  <tableColumns count="2">
    <tableColumn id="1" xr3:uid="{7B0543B4-03E3-4FAF-BFF9-98B834A2A253}" name="Description of the information:" dataDxfId="105"/>
    <tableColumn id="2" xr3:uid="{5C5EB3D3-CF00-43BE-8853-5602F78856CB}" name="Link" dataDxfId="104"/>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3" dataDxfId="101" headerRowBorderDxfId="102" tableBorderDxfId="100" totalsRowBorderDxfId="99">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98"/>
    <tableColumn id="2" xr3:uid="{D22CDBE7-9B75-4248-A951-0D061DAA9F1C}" name="Data entry column" dataDxfId="97"/>
    <tableColumn id="4" xr3:uid="{20424A8D-23FA-4C1D-B394-6A4A0726E8D6}" name="Additional data entry column" dataDxfId="96"/>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95" dataDxfId="93" headerRowBorderDxfId="94" tableBorderDxfId="92">
  <autoFilter ref="A14:B22" xr:uid="{B50C45A2-2A77-478E-B226-DC5B3B2EA72E}">
    <filterColumn colId="0" hiddenButton="1"/>
    <filterColumn colId="1" hiddenButton="1"/>
  </autoFilter>
  <tableColumns count="2">
    <tableColumn id="1" xr3:uid="{FA8C78F6-50A3-498F-8975-6D1EC817B86B}" name="Description of values generated" dataDxfId="91"/>
    <tableColumn id="2" xr3:uid="{150A0AA5-FDF2-4BA1-A9A8-36A566F3E6CC}" name="Values generated" dataDxfId="90"/>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89" dataDxfId="87" headerRowBorderDxfId="88" tableBorderDxfId="86" totalsRowBorderDxfId="85">
  <autoFilter ref="A4:B8" xr:uid="{E51AE02F-7B0C-4640-BEBD-8FD46432F29C}">
    <filterColumn colId="0" hiddenButton="1"/>
    <filterColumn colId="1" hiddenButton="1"/>
  </autoFilter>
  <tableColumns count="2">
    <tableColumn id="1" xr3:uid="{C513A266-837A-4378-8552-D156135B549F}" name="Description of required information" dataDxfId="84"/>
    <tableColumn id="2" xr3:uid="{9FEADC6D-D9F7-40A8-AB95-390DAB627A00}" name="Data entry Column" dataDxfId="83"/>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2" dataDxfId="80" headerRowBorderDxfId="81" tableBorderDxfId="79" totalsRowBorderDxfId="78">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dataDxfId="77"/>
    <tableColumn id="2" xr3:uid="{DA6AF240-7DDF-40CC-B3C9-0A6C10900A68}" name="Area (ha)" dataDxfId="76"/>
    <tableColumn id="4" xr3:uid="{D46D9DE3-2913-45A9-81EF-5C0B16A60B70}" name="Annual phosphorus export  _x000a_(kg TP/yr)" dataDxfId="75"/>
    <tableColumn id="5" xr3:uid="{B35F3CE8-F7D9-4526-B8D6-064B09EE0E77}" name="Notes on data" dataDxfId="74"/>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3" dataDxfId="72">
  <autoFilter ref="A4:C22" xr:uid="{4057B598-0CAB-42EF-BD1C-CD9464EFF558}">
    <filterColumn colId="0" hiddenButton="1"/>
    <filterColumn colId="1" hiddenButton="1"/>
    <filterColumn colId="2" hiddenButton="1"/>
  </autoFilter>
  <tableColumns count="3">
    <tableColumn id="1" xr3:uid="{E733CC69-D292-417A-89E1-BDB32D6E70AE}" name="New land use type(s)" dataDxfId="71"/>
    <tableColumn id="2" xr3:uid="{2BF0443C-5885-452F-9860-409F1647E1C1}" name="Area (ha)" dataDxfId="70"/>
    <tableColumn id="4" xr3:uid="{D4EA72A6-0C9C-4A1E-8AAC-10EB38F195A8}" name="Annual phosphorus export_x000a_(kg TP/yr)" dataDxfId="69"/>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3:H29" totalsRowShown="0" headerRowDxfId="68" dataDxfId="67">
  <autoFilter ref="A3:H29"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dataDxfId="66"/>
    <tableColumn id="2" xr3:uid="{72D29FD7-7898-4191-A97D-55B2AC2A6039}" name="SuDS catchment area (ha)" dataDxfId="65"/>
    <tableColumn id="10" xr3:uid="{C118AB6C-A0C7-46A0-B4D4-823E8172F281}" name="Percentage of flow entering the SuDS (%)" dataDxfId="64"/>
    <tableColumn id="4" xr3:uid="{C9DF269B-9235-47CA-9628-CA0EAEA7E887}" name="Annual phosphorus inputs to SuDS feature(s)_x000a_(kg T/yr)" dataDxfId="63">
      <calculatedColumnFormula>IFERROR(IF(ISBLANK(A4),"",IF(ISBLANK(B4),"",VLOOKUP(A4,Nutrients_from_future_land_use!$A$5:$C$21,4,FALSE)*(B4/VLOOKUP(A4,Nutrients_from_future_land_use!$A$5:$C$21,2,FALSE)))),"")</calculatedColumnFormula>
    </tableColumn>
    <tableColumn id="5" xr3:uid="{95439CAD-05D0-4028-94D4-451B848D06FE}" name="Name of SuDS feature(s)" dataDxfId="62"/>
    <tableColumn id="8" xr3:uid="{6CE040BE-33E5-44DA-B389-E1BC789E21E5}" name="TP removal rate for features - user specified (%)" dataDxfId="61">
      <calculatedColumnFormula>IF(OR(#REF!="No",ISBLANK(#REF!)),"",IF(#REF!="Yes","","TN removal rate - user specified (%)"))</calculatedColumnFormula>
    </tableColumn>
    <tableColumn id="14" xr3:uid="{1156F97A-C06E-4041-A8E9-274F94CC02BE}" name="Annual phosphorus load removed by SuDS_x000a_(kg TP/yr)" dataDxfId="60"/>
    <tableColumn id="6" xr3:uid="{E06A970A-6835-4E49-9119-FEAF7BC8D4A0}" name="Notes on data" dataDxfId="59">
      <calculatedColumnFormula>IF(SUMIFS($B$4:$B$28,$A$4:$A$28,A4)&gt;SUMIFS(Nutrients_from_future_land_use!$B$5:$B$21,Nutrients_from_future_land_use!$A$5:$A$21,A4),"Area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58" dataDxfId="56" headerRowBorderDxfId="57" tableBorderDxfId="55" totalsRowBorderDxfId="54">
  <autoFilter ref="A4:B14" xr:uid="{A0BD0106-977A-4B15-9C53-C66CDF6772BD}">
    <filterColumn colId="0" hiddenButton="1"/>
    <filterColumn colId="1" hiddenButton="1"/>
  </autoFilter>
  <tableColumns count="2">
    <tableColumn id="1" xr3:uid="{31004191-352C-44A7-A242-30E88F4CD5ED}" name="Description of values generated" dataDxfId="53"/>
    <tableColumn id="2" xr3:uid="{C357CE45-1FD7-4EF9-804B-579D3A1CC1A7}" name="Values generated" dataDxfId="52"/>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apapps2.bgs.ac.uk/ukso/home.html?layers=NVZEng" TargetMode="External"/><Relationship Id="rId7" Type="http://schemas.openxmlformats.org/officeDocument/2006/relationships/table" Target="../tables/table2.xml"/><Relationship Id="rId2" Type="http://schemas.openxmlformats.org/officeDocument/2006/relationships/hyperlink" Target="https://www.landis.org.uk/soilscapes/" TargetMode="External"/><Relationship Id="rId1" Type="http://schemas.openxmlformats.org/officeDocument/2006/relationships/hyperlink" Target="http://environment.data.gov.uk/catchment-plannin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nrfa.ceh.ac.uk/data/station/spatial/43021"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6"/>
  <sheetViews>
    <sheetView zoomScaleNormal="100" workbookViewId="0"/>
  </sheetViews>
  <sheetFormatPr defaultColWidth="8.81640625" defaultRowHeight="15.5" x14ac:dyDescent="0.35"/>
  <cols>
    <col min="1" max="1" width="139.7265625" style="3" customWidth="1"/>
    <col min="2" max="2" width="44.81640625" style="3" customWidth="1"/>
    <col min="3" max="207" width="8.54296875" style="3" customWidth="1"/>
    <col min="208" max="16384" width="8.81640625" style="3"/>
  </cols>
  <sheetData>
    <row r="1" spans="1:2" ht="36.75" customHeight="1" x14ac:dyDescent="0.35">
      <c r="A1" s="12" t="s">
        <v>0</v>
      </c>
    </row>
    <row r="2" spans="1:2" ht="26.25" customHeight="1" x14ac:dyDescent="0.35">
      <c r="A2" s="2" t="s">
        <v>1</v>
      </c>
    </row>
    <row r="3" spans="1:2" ht="30.75" customHeight="1" x14ac:dyDescent="0.35">
      <c r="A3" s="2" t="s">
        <v>2</v>
      </c>
    </row>
    <row r="4" spans="1:2" ht="26.25" customHeight="1" x14ac:dyDescent="0.35">
      <c r="A4" s="2" t="s">
        <v>3</v>
      </c>
    </row>
    <row r="5" spans="1:2" ht="26.25" customHeight="1" x14ac:dyDescent="0.35">
      <c r="A5" s="3" t="s">
        <v>4</v>
      </c>
    </row>
    <row r="6" spans="1:2" ht="48.65" customHeight="1" x14ac:dyDescent="0.35">
      <c r="A6" s="101" t="s">
        <v>5</v>
      </c>
    </row>
    <row r="7" spans="1:2" ht="36" customHeight="1" x14ac:dyDescent="0.35">
      <c r="A7" s="3" t="s">
        <v>6</v>
      </c>
    </row>
    <row r="8" spans="1:2" ht="37.5" customHeight="1" x14ac:dyDescent="0.35">
      <c r="A8" s="11" t="s">
        <v>7</v>
      </c>
    </row>
    <row r="9" spans="1:2" ht="18.75" customHeight="1" x14ac:dyDescent="0.35">
      <c r="A9" s="13" t="s">
        <v>8</v>
      </c>
      <c r="B9" s="13" t="s">
        <v>9</v>
      </c>
    </row>
    <row r="10" spans="1:2" ht="18" customHeight="1" x14ac:dyDescent="0.35">
      <c r="A10" s="72" t="s">
        <v>10</v>
      </c>
      <c r="B10" s="73" t="s">
        <v>11</v>
      </c>
    </row>
    <row r="11" spans="1:2" ht="18" customHeight="1" x14ac:dyDescent="0.35">
      <c r="A11" s="72" t="s">
        <v>12</v>
      </c>
      <c r="B11" s="73" t="s">
        <v>13</v>
      </c>
    </row>
    <row r="12" spans="1:2" ht="18" customHeight="1" x14ac:dyDescent="0.35">
      <c r="A12" s="72" t="s">
        <v>14</v>
      </c>
      <c r="B12" s="73" t="s">
        <v>15</v>
      </c>
    </row>
    <row r="13" spans="1:2" ht="18" customHeight="1" x14ac:dyDescent="0.35">
      <c r="A13" s="72" t="s">
        <v>16</v>
      </c>
      <c r="B13" s="73" t="s">
        <v>17</v>
      </c>
    </row>
    <row r="14" spans="1:2" ht="18" customHeight="1" x14ac:dyDescent="0.35">
      <c r="A14" s="72" t="s">
        <v>18</v>
      </c>
      <c r="B14" s="73" t="s">
        <v>19</v>
      </c>
    </row>
    <row r="15" spans="1:2" ht="37.5" customHeight="1" x14ac:dyDescent="0.35">
      <c r="A15" s="11" t="s">
        <v>20</v>
      </c>
      <c r="B15" s="74"/>
    </row>
    <row r="16" spans="1:2" ht="20.25" customHeight="1" x14ac:dyDescent="0.35">
      <c r="A16" s="2" t="s">
        <v>21</v>
      </c>
    </row>
    <row r="17" spans="1:1" ht="36.75" customHeight="1" x14ac:dyDescent="0.35">
      <c r="A17" s="2" t="s">
        <v>22</v>
      </c>
    </row>
    <row r="18" spans="1:1" ht="62.5" customHeight="1" x14ac:dyDescent="0.35">
      <c r="A18" s="2" t="s">
        <v>23</v>
      </c>
    </row>
    <row r="19" spans="1:1" ht="36.65" customHeight="1" x14ac:dyDescent="0.35">
      <c r="A19" s="2" t="s">
        <v>24</v>
      </c>
    </row>
    <row r="20" spans="1:1" ht="33" customHeight="1" x14ac:dyDescent="0.35">
      <c r="A20" s="2" t="s">
        <v>25</v>
      </c>
    </row>
    <row r="21" spans="1:1" ht="21" customHeight="1" x14ac:dyDescent="0.35">
      <c r="A21" s="3" t="s">
        <v>26</v>
      </c>
    </row>
    <row r="22" spans="1:1" x14ac:dyDescent="0.35">
      <c r="A22" s="2" t="s">
        <v>27</v>
      </c>
    </row>
    <row r="23" spans="1:1" ht="19.5" customHeight="1" x14ac:dyDescent="0.35">
      <c r="A23" s="2" t="s">
        <v>28</v>
      </c>
    </row>
    <row r="24" spans="1:1" ht="36" customHeight="1" x14ac:dyDescent="0.35">
      <c r="A24" s="2" t="s">
        <v>29</v>
      </c>
    </row>
    <row r="25" spans="1:1" ht="51" customHeight="1" x14ac:dyDescent="0.35">
      <c r="A25" s="2" t="s">
        <v>30</v>
      </c>
    </row>
    <row r="26" spans="1:1" ht="34.5" customHeight="1" x14ac:dyDescent="0.35">
      <c r="A26" s="2" t="s">
        <v>31</v>
      </c>
    </row>
    <row r="27" spans="1:1" ht="37.5" customHeight="1" x14ac:dyDescent="0.35">
      <c r="A27" s="11" t="s">
        <v>32</v>
      </c>
    </row>
    <row r="28" spans="1:1" ht="20.25" customHeight="1" x14ac:dyDescent="0.35">
      <c r="A28" s="3" t="s">
        <v>33</v>
      </c>
    </row>
    <row r="29" spans="1:1" ht="50.25" customHeight="1" x14ac:dyDescent="0.35">
      <c r="A29" s="3" t="s">
        <v>34</v>
      </c>
    </row>
    <row r="30" spans="1:1" ht="51.75" customHeight="1" x14ac:dyDescent="0.35">
      <c r="A30" s="3" t="s">
        <v>35</v>
      </c>
    </row>
    <row r="31" spans="1:1" ht="84.75" customHeight="1" x14ac:dyDescent="0.35">
      <c r="A31" s="3" t="s">
        <v>36</v>
      </c>
    </row>
    <row r="32" spans="1:1" ht="79.5" customHeight="1" x14ac:dyDescent="0.35">
      <c r="A32" s="3" t="s">
        <v>37</v>
      </c>
    </row>
    <row r="33" spans="1:2" ht="47.5" customHeight="1" x14ac:dyDescent="0.35">
      <c r="A33" s="3" t="s">
        <v>38</v>
      </c>
    </row>
    <row r="34" spans="1:2" ht="66.75" customHeight="1" x14ac:dyDescent="0.35">
      <c r="A34" s="3" t="s">
        <v>39</v>
      </c>
    </row>
    <row r="35" spans="1:2" ht="37.5" customHeight="1" x14ac:dyDescent="0.35">
      <c r="A35" s="11" t="s">
        <v>40</v>
      </c>
    </row>
    <row r="36" spans="1:2" ht="79.5" customHeight="1" x14ac:dyDescent="0.35">
      <c r="A36" s="3" t="s">
        <v>41</v>
      </c>
    </row>
    <row r="37" spans="1:2" ht="66.650000000000006" customHeight="1" x14ac:dyDescent="0.35">
      <c r="A37" s="3" t="s">
        <v>42</v>
      </c>
    </row>
    <row r="38" spans="1:2" ht="20.25" customHeight="1" x14ac:dyDescent="0.35">
      <c r="A38" s="3" t="s">
        <v>26</v>
      </c>
    </row>
    <row r="39" spans="1:2" ht="37.5" customHeight="1" x14ac:dyDescent="0.35">
      <c r="A39" s="11" t="s">
        <v>43</v>
      </c>
    </row>
    <row r="40" spans="1:2" x14ac:dyDescent="0.35">
      <c r="A40" s="71" t="s">
        <v>44</v>
      </c>
      <c r="B40" s="102" t="s">
        <v>45</v>
      </c>
    </row>
    <row r="41" spans="1:2" ht="31.5" customHeight="1" x14ac:dyDescent="0.35">
      <c r="A41" s="36" t="s">
        <v>46</v>
      </c>
      <c r="B41" s="103" t="s">
        <v>47</v>
      </c>
    </row>
    <row r="42" spans="1:2" ht="19.5" customHeight="1" x14ac:dyDescent="0.35">
      <c r="A42" s="36" t="s">
        <v>48</v>
      </c>
      <c r="B42" s="103" t="s">
        <v>49</v>
      </c>
    </row>
    <row r="43" spans="1:2" ht="35.25" customHeight="1" x14ac:dyDescent="0.35">
      <c r="A43" s="36" t="s">
        <v>50</v>
      </c>
      <c r="B43" s="103" t="s">
        <v>51</v>
      </c>
    </row>
    <row r="44" spans="1:2" ht="32.25" customHeight="1" x14ac:dyDescent="0.35">
      <c r="A44" s="62" t="s">
        <v>52</v>
      </c>
      <c r="B44" s="104" t="s">
        <v>53</v>
      </c>
    </row>
    <row r="45" spans="1:2" ht="37.5" customHeight="1" x14ac:dyDescent="0.35">
      <c r="A45" s="87" t="s">
        <v>54</v>
      </c>
      <c r="B45" s="86"/>
    </row>
    <row r="46" spans="1:2" ht="51.75" customHeight="1" x14ac:dyDescent="0.35">
      <c r="A46" s="3" t="s">
        <v>55</v>
      </c>
    </row>
    <row r="47" spans="1:2" ht="68.25" customHeight="1" x14ac:dyDescent="0.35">
      <c r="A47" s="3" t="s">
        <v>56</v>
      </c>
    </row>
    <row r="48" spans="1:2" ht="20.25" customHeight="1" x14ac:dyDescent="0.35">
      <c r="A48" s="3" t="s">
        <v>26</v>
      </c>
    </row>
    <row r="49" spans="1:1" ht="37.5" customHeight="1" x14ac:dyDescent="0.35">
      <c r="A49" s="11" t="s">
        <v>57</v>
      </c>
    </row>
    <row r="50" spans="1:1" ht="36.65" customHeight="1" x14ac:dyDescent="0.35">
      <c r="A50" s="2" t="s">
        <v>58</v>
      </c>
    </row>
    <row r="51" spans="1:1" ht="159" customHeight="1" x14ac:dyDescent="0.35">
      <c r="A51" s="2" t="s">
        <v>59</v>
      </c>
    </row>
    <row r="52" spans="1:1" ht="37.5" customHeight="1" x14ac:dyDescent="0.35">
      <c r="A52" s="11" t="s">
        <v>60</v>
      </c>
    </row>
    <row r="53" spans="1:1" ht="35.25" customHeight="1" x14ac:dyDescent="0.35">
      <c r="A53" s="3" t="s">
        <v>61</v>
      </c>
    </row>
    <row r="54" spans="1:1" ht="23.25" customHeight="1" x14ac:dyDescent="0.35">
      <c r="A54" s="3" t="s">
        <v>62</v>
      </c>
    </row>
    <row r="55" spans="1:1" ht="39" customHeight="1" x14ac:dyDescent="0.35">
      <c r="A55" s="3" t="s">
        <v>63</v>
      </c>
    </row>
    <row r="66" spans="1:1" x14ac:dyDescent="0.35">
      <c r="A66" s="44"/>
    </row>
  </sheetData>
  <sheetProtection algorithmName="SHA-512" hashValue="CWM84X59am8ezl0V3tgrqO73H/BNGZgsJou/RR/eacJPK4ULWg7OS5+miQfE2GsZaEVVOEMKsJm7/yThKoe1hw==" saltValue="BU4EaOHLdsavd/Mv8wcmOg==" spinCount="100000" sheet="1" objects="1" scenarios="1"/>
  <hyperlinks>
    <hyperlink ref="B10" location="Nutrients_from_wastewater!A1" display="Nutrients from wastewater" xr:uid="{E36A1043-AB91-4942-BD3A-CCA4FEFDBABA}"/>
    <hyperlink ref="B11" location="Nutrients_from_current_land_use!A1" display="Nutrients from current land use" xr:uid="{CFF94702-FC5B-4FE0-9876-AD7BF54E11C4}"/>
    <hyperlink ref="B12" location="Nutrients_from_future_land_use!A1" display="Nutrients from future land use" xr:uid="{071ABFEB-913E-4634-A3E2-439DCBD9E445}"/>
    <hyperlink ref="B14" location="Final_nutrient_budgets!A1" display="Final_nutrient_budgets" xr:uid="{60A04C2C-8C4C-42F0-9154-88681F7D2227}"/>
    <hyperlink ref="B13" location="SuDS!A1" display="SuDS" xr:uid="{253465E3-58BA-4871-ADD4-19A1C27D809E}"/>
    <hyperlink ref="B41" r:id="rId1" xr:uid="{0F48C9B9-026B-4FFB-ACBE-0F8CA6240AAD}"/>
    <hyperlink ref="B42" r:id="rId2" location="." xr:uid="{2871AC31-C0A3-4C0A-B4E6-5BD88AD10E7B}"/>
    <hyperlink ref="B44" r:id="rId3" xr:uid="{B825DA77-EE8A-4059-989B-D2381E895B1A}"/>
    <hyperlink ref="B43" r:id="rId4" xr:uid="{8E480430-51C5-4A14-AE96-60F3A62EC698}"/>
  </hyperlinks>
  <pageMargins left="0.7" right="0.7" top="0.75" bottom="0.75" header="0.3" footer="0.3"/>
  <pageSetup paperSize="9" orientation="portrait"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tabSelected="1" topLeftCell="A3" zoomScaleNormal="100" workbookViewId="0">
      <selection activeCell="B8" sqref="B8"/>
    </sheetView>
  </sheetViews>
  <sheetFormatPr defaultColWidth="8.81640625" defaultRowHeight="14.5" x14ac:dyDescent="0.35"/>
  <cols>
    <col min="1" max="1" width="90" style="47" customWidth="1"/>
    <col min="2" max="2" width="54.7265625" style="47" customWidth="1"/>
    <col min="3" max="6" width="30.54296875" style="47" customWidth="1"/>
    <col min="7" max="360" width="8.54296875" style="47" customWidth="1"/>
    <col min="361" max="16384" width="8.81640625" style="47"/>
  </cols>
  <sheetData>
    <row r="1" spans="1:5" ht="37.5" customHeight="1" x14ac:dyDescent="0.35">
      <c r="A1" s="46" t="s">
        <v>11</v>
      </c>
    </row>
    <row r="2" spans="1:5" ht="409.5" customHeight="1" x14ac:dyDescent="0.35">
      <c r="A2" s="33" t="s">
        <v>64</v>
      </c>
    </row>
    <row r="3" spans="1:5" ht="51.65" customHeight="1" x14ac:dyDescent="0.4">
      <c r="A3" s="48" t="s">
        <v>65</v>
      </c>
      <c r="B3" s="22"/>
      <c r="C3" s="2"/>
    </row>
    <row r="4" spans="1:5" ht="31" x14ac:dyDescent="0.35">
      <c r="A4" s="71" t="s">
        <v>66</v>
      </c>
      <c r="B4" s="67" t="s">
        <v>67</v>
      </c>
      <c r="C4" s="67" t="s">
        <v>68</v>
      </c>
    </row>
    <row r="5" spans="1:5" ht="15.5" x14ac:dyDescent="0.35">
      <c r="A5" s="9" t="s">
        <v>69</v>
      </c>
      <c r="B5" s="49"/>
      <c r="C5" s="97"/>
    </row>
    <row r="6" spans="1:5" ht="15.5" x14ac:dyDescent="0.35">
      <c r="A6" s="9" t="s">
        <v>70</v>
      </c>
      <c r="B6" s="19">
        <v>2.4</v>
      </c>
      <c r="C6" s="97"/>
    </row>
    <row r="7" spans="1:5" ht="15.5" x14ac:dyDescent="0.35">
      <c r="A7" s="9" t="s">
        <v>71</v>
      </c>
      <c r="B7" s="50">
        <v>120</v>
      </c>
      <c r="C7" s="97"/>
    </row>
    <row r="8" spans="1:5" ht="124" customHeight="1" x14ac:dyDescent="0.35">
      <c r="A8" s="9" t="s">
        <v>72</v>
      </c>
      <c r="B8" s="50"/>
      <c r="C8" s="97"/>
    </row>
    <row r="9" spans="1:5" ht="30.75" customHeight="1" x14ac:dyDescent="0.35">
      <c r="A9" s="9" t="s">
        <v>73</v>
      </c>
      <c r="B9" s="50"/>
      <c r="C9" s="97"/>
    </row>
    <row r="10" spans="1:5" ht="15.5" x14ac:dyDescent="0.35">
      <c r="A10" s="9" t="s">
        <v>74</v>
      </c>
      <c r="B10" s="51" t="str">
        <f>IFERROR(IF(OR(B9="Package Treatment Plant user defined",B9="Septic Tank user defined"),"Please enter value in cell to the right:",IF(AND(B5&lt;DATE(2025,1,1)),VLOOKUP(B9,Value_look_up_tables!$A$5:$J$48,2,FALSE),IF(AND(B5&lt;DATE(2025,1,1)),VLOOKUP(B9,Value_look_up_tables!$A$5:$J$48,2,FALSE),IF(AND(B5&lt;DATE(2030,4,1),B5&gt;=DATE(2025,1,1)),VLOOKUP(B9,Value_look_up_tables!$A$5:$J$48,3,FALSE),IF(AND(B5&lt;DATE(2030,4,1),B5&gt;=DATE(2025,1,1)),IF(AND(B5&lt;DATE(2030,4,1)),VLOOKUP(B9,Value_look_up_tables!$A$5:$J$48,2,FALSE),IF(AND(B5&lt;DATE(2030,4,1)),VLOOKUP(B9,Value_look_up_tables!$A$5:$J$48,3,FALSE),IF(AND(B5&gt;=DATE(2030,4,1)),VLOOKUP(B9,Value_look_up_tables!$A$5:$J$48,4,FALSE),IF(AND(B5&gt;=DATE(2030,4,1)),VLOOKUP(B9,Value_look_up_tables!$A$5:$J$48,4,FALSE),"")))),VLOOKUP(B9,Value_look_up_tables!$A$5:$J$48,4,FALSE)))))),"")</f>
        <v/>
      </c>
      <c r="C10" s="98"/>
      <c r="D10" s="52"/>
    </row>
    <row r="11" spans="1:5" ht="20.149999999999999" customHeight="1" x14ac:dyDescent="0.35">
      <c r="A11" s="9" t="str">
        <f>IFERROR(IF(AND($B$5&lt;DATE(2025,1,1),(VLOOKUP($B$9,Value_look_up_tables!$A$5:$E$46,2,FALSE))&gt;(VLOOKUP($B$9,Value_look_up_tables!$A$5:$E$46,3,FALSE))), "Post 2025 WwTW P permit (mg TP/litre):",""),"")</f>
        <v/>
      </c>
      <c r="B11" s="51" t="str">
        <f>IFERROR(IF(AND($B$5&lt;DATE(2025,1,1),(VLOOKUP($B$9,Value_look_up_tables!$A$5:$J$46,2,FALSE))&gt;(VLOOKUP($B$9,Value_look_up_tables!$A$5:$J$46,3,FALSE))),VLOOKUP(B9,Value_look_up_tables!$A$5:$J$49,3,FALSE),""),"")</f>
        <v/>
      </c>
      <c r="C11" s="97"/>
    </row>
    <row r="12" spans="1:5" ht="20.149999999999999" customHeight="1" x14ac:dyDescent="0.35">
      <c r="A12" s="6" t="str">
        <f>IFERROR(IF(AND($B$5&lt;DATE(2030,4,1),(VLOOKUP($B$9,Value_look_up_tables!$A$5:$J$46,3,FALSE))&gt;(VLOOKUP($B$9,Value_look_up_tables!$A$5:$J$46,4,FALSE))), "Post 2030 WwTW P permit (mg TP/litre):",""),"")</f>
        <v/>
      </c>
      <c r="B12" s="20" t="str">
        <f>IFERROR(IF(AND($B$5&lt;DATE(2030,4,1),(VLOOKUP($B$9,Value_look_up_tables!$A$5:$J$46,3,FALSE))&gt;(VLOOKUP($B$9,Value_look_up_tables!$A$5:$J$46,4,FALSE))), VLOOKUP(B9,Value_look_up_tables!$A$5:$J$49,4,FALSE),""),"")</f>
        <v/>
      </c>
      <c r="C12" s="99"/>
      <c r="E12" s="47" t="s">
        <v>75</v>
      </c>
    </row>
    <row r="13" spans="1:5" ht="18" x14ac:dyDescent="0.4">
      <c r="A13" s="1" t="s">
        <v>76</v>
      </c>
      <c r="B13" s="53"/>
    </row>
    <row r="14" spans="1:5" ht="15.5" x14ac:dyDescent="0.35">
      <c r="A14" s="64" t="s">
        <v>77</v>
      </c>
      <c r="B14" s="65" t="s">
        <v>78</v>
      </c>
      <c r="C14" s="89"/>
    </row>
    <row r="15" spans="1:5" ht="15.5" x14ac:dyDescent="0.35">
      <c r="A15" s="90" t="str">
        <f>IFERROR(IF(AND($B$5&lt;DATE(2030,4,1),OR((VLOOKUP($B$9,Value_look_up_tables!$A$5:$J$46,3,FALSE))&gt;(VLOOKUP($B$9,Value_look_up_tables!$A$5:$J$46,4,FALSE)))),"Post-2030 Stage 1 Nutrient Loading",IF(AND($B$5&lt;DATE(2025,1,1),OR((VLOOKUP($B$9,Value_look_up_tables!$A$5:$E$46,2,FALSE))&gt;(VLOOKUP($B$9,Value_look_up_tables!$A$5:$E$46,3,FALSE)))),"Post-2025 Stage 1 Nutrient Loading","Stage 1 Nutrient Loading")),IF(B10="Please enter value in cell to the right:","Stage 1 Nutrient Loading",""))</f>
        <v/>
      </c>
      <c r="B15" s="91"/>
    </row>
    <row r="16" spans="1:5" ht="15.5" x14ac:dyDescent="0.35">
      <c r="A16" s="7" t="s">
        <v>79</v>
      </c>
      <c r="B16" s="54" t="str">
        <f>IF(ISBLANK(B8),"",B6*B8)</f>
        <v/>
      </c>
    </row>
    <row r="17" spans="1:2" ht="15.5" x14ac:dyDescent="0.35">
      <c r="A17" s="8" t="s">
        <v>80</v>
      </c>
      <c r="B17" s="20" t="str">
        <f>IFERROR(B16*B7,"")</f>
        <v/>
      </c>
    </row>
    <row r="18" spans="1:2" ht="15.5" x14ac:dyDescent="0.35">
      <c r="A18" s="8" t="s">
        <v>81</v>
      </c>
      <c r="B18" s="20" t="str">
        <f>IFERROR(ROUND(IF(ISNUMBER(B12),B12*B17*0.9/1000000*365.25,IF(ISNUMBER(B11),B11*B17*0.9/1000000*365.25,IF(B10="Please enter value in cell to the right:",IF(AND(B10="Please enter value in cell to the right:",ISNUMBER(C10)),B17*(IF(C10&lt;0,0,C10))/1000000*365.25, VLOOKUP((LEFT(B9,(LEN(B9)-13))&amp;" default"),Value_look_up_tables!$A$45:$C$46,3,FALSE)*B17/1000000*365.25),IF(OR(B9="Package Treatment Plant default",B9="Septic Tank default"),B10*B17/1000000*365.25,IF(B10=8,B10*B17/1000000*365.25,B10*B17*0.9/1000000*365.25))))),2),"")</f>
        <v/>
      </c>
    </row>
    <row r="19" spans="1:2" ht="15.5" x14ac:dyDescent="0.35">
      <c r="A19" s="92" t="str">
        <f>IFERROR(IF(AND($B$5&lt;DATE(2030,4,1),OR((VLOOKUP($B$9,Value_look_up_tables!$A$5:$J$46,3,FALSE))&gt;(VLOOKUP($B$9,Value_look_up_tables!$A$5:$J$46,4,FALSE)))),"Pre-2030 Stage 1 Nutrient Loading",IF(AND($B$5&lt;DATE(2025,1,1),OR((VLOOKUP($B$9,Value_look_up_tables!$A$5:$E$46,2,FALSE))&gt;(VLOOKUP($B$9,Value_look_up_tables!$A$5:$E$46,3,FALSE)))),IF(B18=B20,A15,"Pre-2025 Stage 1 Nutrient Loading"),"")),"")</f>
        <v/>
      </c>
      <c r="B19" s="93"/>
    </row>
    <row r="20" spans="1:2" ht="15.5" x14ac:dyDescent="0.35">
      <c r="A20" s="7" t="str">
        <f>IFERROR(IF(AND($B$5&lt;DATE(2030,4,1),OR((VLOOKUP($B$9,Value_look_up_tables!$A$5:$J$46,3,FALSE))&gt;(VLOOKUP($B$9,Value_look_up_tables!$A$5:$J$46,4,FALSE)),,(VLOOKUP($B$9,Value_look_up_tables!$A$5:$J$46,2,FALSE))&gt;(VLOOKUP($B$9,Value_look_up_tables!$A$5:$J$46,4,FALSE)))),"Annual wastewater TP load (kg TP/yr):",""),"")</f>
        <v/>
      </c>
      <c r="B20" s="56" t="str">
        <f>IFERROR(ROUND(IF(AND($B$5&lt;DATE(2030,4,1),OR((VLOOKUP($B$9,Value_look_up_tables!$A$5:$J$46,3,FALSE))&gt;(VLOOKUP($B$9,Value_look_up_tables!$A$5:$J$46,4,FALSE)),(VLOOKUP($B$9,Value_look_up_tables!$A$5:$J$46,2,FALSE))&gt;(VLOOKUP($B$9,Value_look_up_tables!$A$5:$J$46,4,FALSE)))),IF(ISNUMBER(B11),IF(B11=8,(B11*B$17)/1000000*365.25,(B11*B$17*0.9)/1000000*365.25),IF(B10=8,(B10*B$17)/1000000*365.25,(B10*B$17*0.9)/1000000*365.25)),""),2),"")</f>
        <v/>
      </c>
    </row>
    <row r="21" spans="1:2" ht="15.5" x14ac:dyDescent="0.35">
      <c r="A21" s="92" t="str">
        <f>IFERROR(IF(AND($B$5&lt;DATE(2025,1,1),$B$5&lt;DATE(2030,4,1),OR((VLOOKUP($B$9,Value_look_up_tables!$A$5:$J$46,3,FALSE))&gt;(VLOOKUP($B$9,Value_look_up_tables!$A$5:$J$46,4,FALSE)))),IF(AND(B22=""),"","Pre-2025 Stage 1 Nutrient Loading"),IF(AND($B$5&lt;DATE(2025,1,1),OR((VLOOKUP($B$9,Value_look_up_tables!$A$5:$E$46,2,FALSE))&gt;(VLOOKUP($B$9,Value_look_up_tables!$A$5:$E$46,3,FALSE)))),IF(LEFT(A19,9)="Post-2025","Pre-2025 Stage 1 Nutrient Loading","Stage 1 Nutrient Loading"),"")),"")</f>
        <v/>
      </c>
      <c r="B21" s="93"/>
    </row>
    <row r="22" spans="1:2" ht="15.5" x14ac:dyDescent="0.35">
      <c r="A22" s="7" t="str">
        <f>IFERROR(IF(AND($B$5&lt;DATE(2025,1,1),OR((VLOOKUP($B$9,Value_look_up_tables!$A$5:$E$46,2,FALSE))&gt;(VLOOKUP($B$9,Value_look_up_tables!$A$5:$E$46,3,FALSE)),(VLOOKUP($B$9,Value_look_up_tables!$A$5:$E$46,2,FALSE))&gt;(VLOOKUP($B$9,Value_look_up_tables!$A$5:$E$46,3,FALSE)))),"Annual wastewater TP load (kg TP/yr):",""),"")</f>
        <v/>
      </c>
      <c r="B22" s="55" t="str">
        <f>IFERROR(ROUND(IF(AND($B$5&lt;DATE(2025,1,1),$B$5&lt;DATE(2030,4,1),OR((VLOOKUP($B$9,Value_look_up_tables!$A$5:$J$46,3,FALSE))&gt;(VLOOKUP($B$9,Value_look_up_tables!$A$5:$J$46,4,FALSE)),(VLOOKUP($B$9,Value_look_up_tables!$A$5:$J$46,2,FALSE))&gt;(VLOOKUP($B$9,Value_look_up_tables!$A$5:$J$46,3,FALSE)))),IF(ISNUMBER(B11),IF(B10=8,(B10*B$17)/1000000*365.25,(B10*B$17*0.9)/1000000*365.25),IF(B11=8,(B11*B$17)/1000000*365.25,(B11*B$17*0.9)/1000000*365.25)),""),2),"")</f>
        <v/>
      </c>
    </row>
  </sheetData>
  <sheetProtection algorithmName="SHA-512" hashValue="JKFKH4KF/VGpFDqs5To7ChuGNaM99XpElsmyQdZh5mmu5UbjNWtfTF5dgtYYY9D3WF03ZwUOIIaTQbED7bIBRw==" saltValue="aRsPFXlpbP+gaOM0mKqOF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1" priority="1">
      <formula>$B$10="Please enter value in cell to the right:"</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Value_look_up_tables!$A$5:$A$48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2.1796875" style="17" customWidth="1"/>
    <col min="2" max="2" width="40.54296875" style="17" customWidth="1"/>
    <col min="3" max="3" width="25.7265625" style="17" customWidth="1"/>
    <col min="4" max="4" width="76.7265625" style="17" customWidth="1"/>
    <col min="5" max="386" width="8.54296875" style="17" customWidth="1"/>
    <col min="387" max="16384" width="9.1796875" style="17"/>
  </cols>
  <sheetData>
    <row r="1" spans="1:6" ht="30" x14ac:dyDescent="0.35">
      <c r="A1" s="14" t="s">
        <v>13</v>
      </c>
      <c r="B1" s="15"/>
      <c r="C1" s="15"/>
      <c r="D1" s="15"/>
    </row>
    <row r="2" spans="1:6" ht="409.5" customHeight="1" x14ac:dyDescent="0.35">
      <c r="A2" s="33" t="s">
        <v>82</v>
      </c>
      <c r="B2" s="15"/>
      <c r="C2" s="15"/>
      <c r="D2" s="15"/>
      <c r="E2" s="22"/>
      <c r="F2" s="2"/>
    </row>
    <row r="3" spans="1:6" ht="70" customHeight="1" x14ac:dyDescent="0.35">
      <c r="A3" s="23" t="s">
        <v>83</v>
      </c>
      <c r="B3" s="16"/>
      <c r="C3" s="16"/>
      <c r="E3" s="2"/>
      <c r="F3" s="2"/>
    </row>
    <row r="4" spans="1:6" ht="18" x14ac:dyDescent="0.35">
      <c r="A4" s="69" t="s">
        <v>66</v>
      </c>
      <c r="B4" s="70" t="s">
        <v>84</v>
      </c>
      <c r="C4" s="16"/>
      <c r="E4" s="2"/>
      <c r="F4" s="2"/>
    </row>
    <row r="5" spans="1:6" ht="23.25" customHeight="1" x14ac:dyDescent="0.35">
      <c r="A5" s="9" t="s">
        <v>85</v>
      </c>
      <c r="B5" s="27"/>
      <c r="C5" s="2"/>
      <c r="D5" s="2"/>
      <c r="E5" s="2"/>
      <c r="F5" s="24"/>
    </row>
    <row r="6" spans="1:6" ht="23.25" customHeight="1" x14ac:dyDescent="0.35">
      <c r="A6" s="9" t="s">
        <v>86</v>
      </c>
      <c r="B6" s="28"/>
      <c r="C6" s="2"/>
      <c r="D6" s="2"/>
      <c r="E6" s="2"/>
      <c r="F6" s="2"/>
    </row>
    <row r="7" spans="1:6" ht="23.25" customHeight="1" x14ac:dyDescent="0.35">
      <c r="A7" s="9" t="s">
        <v>87</v>
      </c>
      <c r="B7" s="29"/>
      <c r="C7" s="2"/>
      <c r="D7" s="2"/>
      <c r="E7" s="2"/>
      <c r="F7" s="2"/>
    </row>
    <row r="8" spans="1:6" ht="23.25" customHeight="1" x14ac:dyDescent="0.35">
      <c r="A8" s="6" t="s">
        <v>88</v>
      </c>
      <c r="B8" s="30"/>
      <c r="C8" s="2"/>
      <c r="D8" s="2"/>
      <c r="E8" s="2"/>
      <c r="F8" s="2"/>
    </row>
    <row r="9" spans="1:6" ht="70" customHeight="1" x14ac:dyDescent="0.35">
      <c r="A9" s="96" t="s">
        <v>89</v>
      </c>
      <c r="B9" s="95"/>
      <c r="C9" s="2"/>
      <c r="D9" s="2"/>
      <c r="E9" s="2"/>
      <c r="F9" s="2"/>
    </row>
    <row r="10" spans="1:6" ht="54.75" customHeight="1" x14ac:dyDescent="0.35">
      <c r="A10" s="31" t="s">
        <v>90</v>
      </c>
      <c r="B10" s="32" t="s">
        <v>91</v>
      </c>
      <c r="C10" s="32" t="s">
        <v>92</v>
      </c>
      <c r="D10" s="32" t="s">
        <v>93</v>
      </c>
      <c r="E10" s="2"/>
      <c r="F10" s="24"/>
    </row>
    <row r="11" spans="1:6" ht="37.5" customHeight="1" x14ac:dyDescent="0.35">
      <c r="A11" s="4"/>
      <c r="B11" s="19"/>
      <c r="C11" s="94"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IFERROR($B11*VLOOKUP($A11&amp;"|"&amp;VLOOKUP(Nutrients_from_current_land_use!$B$8,Value_look_up_tables!$A$236:$B$237,2,FALSE)&amp;"|"&amp;VLOOKUP(Nutrients_from_current_land_use!$B$7,Value_look_up_tables!$A$197:$C$219,3,FALSE)&amp;"|"&amp;VLOOKUP($B$6,Value_look_up_tables!$A$227:$B$232,2,FALSE),Value_look_up_tables!$F$52:$H$193,3,FALSE),IFERROR($B11*VLOOKUP($A11&amp;"|"&amp;"TRUE"&amp;"|"&amp;VLOOKUP(Nutrients_from_current_land_use!$B$7,Value_look_up_tables!$A$197:$C$219,3,FALSE)&amp;"|"&amp;VLOOKUP($B$6,Value_look_up_tables!$A$227:$B$232,2,FALSE),Value_look_up_tables!$F$52:$H$193,3,FALSE),$B11*VLOOKUP($A11&amp;"|"&amp;VLOOKUP(Nutrients_from_current_land_use!$B$8,Value_look_up_tables!$A$236:$B$237,2,FALSE)&amp;"|"&amp;VLOOKUP(Nutrients_from_current_land_use!$B$7,Value_look_up_tables!$A$197:$C$219,3,FALSE)&amp;"|"&amp;"DrainedArGr",Value_look_up_tables!$F$52:$H$193,3,FALSE))),IFERROR($B11*VLOOKUP($A11&amp;"|"&amp;VLOOKUP(Nutrients_from_current_land_use!$B$7,Value_look_up_tables!$A$197:$C$219,3,FALSE),Value_look_up_tables!$I$52:$K$185,3,FALSE),$B11*VLOOKUP($A11,Value_look_up_tables!$B$52:$M$185,12,FALSE)))))</f>
        <v/>
      </c>
      <c r="D11" s="5" t="str">
        <f>IF(
OR(ISBLANK($A11),ISBLANK($B11),ISBLANK($B$6),ISBLANK($B$5),ISBLANK($B$7),$A11="Residential urban land",$A11="Commercial/industrial urban land",$A11="Open urban land",$A11="Greenspace",$A11="Community food growing",$A11="Woodland",$A11="Shrub",$A11="Water"),"",IF(ISNUMBER(IFERROR($B11*VLOOKUP((IF(
OR($A11="Residential urban land",$A11="Commercial/industrial urban land",$A11="Open urban land",$A11="Greenspace",$A11="Community food growing",$A11="Woodland",$A11="Shrub",$A11="Water"),"|||"&amp;$A11,(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B11*VLOOKUP($A11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1" s="2"/>
      <c r="F11" s="2"/>
    </row>
    <row r="12" spans="1:6" ht="37.5" customHeight="1" x14ac:dyDescent="0.35">
      <c r="A12" s="4"/>
      <c r="B12" s="19"/>
      <c r="C12" s="94"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IFERROR($B12*VLOOKUP($A12&amp;"|"&amp;VLOOKUP(Nutrients_from_current_land_use!$B$8,Value_look_up_tables!$A$236:$B$237,2,FALSE)&amp;"|"&amp;VLOOKUP(Nutrients_from_current_land_use!$B$7,Value_look_up_tables!$A$197:$C$219,3,FALSE)&amp;"|"&amp;VLOOKUP($B$6,Value_look_up_tables!$A$227:$B$232,2,FALSE),Value_look_up_tables!$F$52:$H$193,3,FALSE),IFERROR($B12*VLOOKUP($A12&amp;"|"&amp;"TRUE"&amp;"|"&amp;VLOOKUP(Nutrients_from_current_land_use!$B$7,Value_look_up_tables!$A$197:$C$219,3,FALSE)&amp;"|"&amp;VLOOKUP($B$6,Value_look_up_tables!$A$227:$B$232,2,FALSE),Value_look_up_tables!$F$52:$H$193,3,FALSE),$B12*VLOOKUP($A12&amp;"|"&amp;VLOOKUP(Nutrients_from_current_land_use!$B$8,Value_look_up_tables!$A$236:$B$237,2,FALSE)&amp;"|"&amp;VLOOKUP(Nutrients_from_current_land_use!$B$7,Value_look_up_tables!$A$197:$C$219,3,FALSE)&amp;"|"&amp;"DrainedArGr",Value_look_up_tables!$F$52:$H$193,3,FALSE))),IFERROR($B12*VLOOKUP($A12&amp;"|"&amp;VLOOKUP(Nutrients_from_current_land_use!$B$7,Value_look_up_tables!$A$197:$C$219,3,FALSE),Value_look_up_tables!$I$52:$K$185,3,FALSE),$B12*VLOOKUP($A12,Value_look_up_tables!$B$52:$M$185,12,FALSE)))))</f>
        <v/>
      </c>
      <c r="D12" s="5" t="str">
        <f>IF(
OR(ISBLANK($A12),ISBLANK($B12),ISBLANK($B$6),ISBLANK($B$5),ISBLANK($B$7),$A12="Residential urban land",$A12="Commercial/industrial urban land",$A12="Open urban land",$A12="Greenspace",$A12="Community food growing",$A12="Woodland",$A12="Shrub",$A12="Water"),"",IF(ISNUMBER(IFERROR($B12*VLOOKUP((IF(
OR($A12="Residential urban land",$A12="Commercial/industrial urban land",$A12="Open urban land",$A12="Greenspace",$A12="Community food growing",$A12="Woodland",$A12="Shrub",$A12="Water"),"|||"&amp;$A12,(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B12*VLOOKUP($A12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2" s="2"/>
      <c r="F12" s="2"/>
    </row>
    <row r="13" spans="1:6" ht="37.5" customHeight="1" x14ac:dyDescent="0.35">
      <c r="A13" s="4"/>
      <c r="B13" s="19"/>
      <c r="C13" s="94"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IFERROR($B13*VLOOKUP($A13&amp;"|"&amp;VLOOKUP(Nutrients_from_current_land_use!$B$8,Value_look_up_tables!$A$236:$B$237,2,FALSE)&amp;"|"&amp;VLOOKUP(Nutrients_from_current_land_use!$B$7,Value_look_up_tables!$A$197:$C$219,3,FALSE)&amp;"|"&amp;VLOOKUP($B$6,Value_look_up_tables!$A$227:$B$232,2,FALSE),Value_look_up_tables!$F$52:$H$193,3,FALSE),IFERROR($B13*VLOOKUP($A13&amp;"|"&amp;"TRUE"&amp;"|"&amp;VLOOKUP(Nutrients_from_current_land_use!$B$7,Value_look_up_tables!$A$197:$C$219,3,FALSE)&amp;"|"&amp;VLOOKUP($B$6,Value_look_up_tables!$A$227:$B$232,2,FALSE),Value_look_up_tables!$F$52:$H$193,3,FALSE),$B13*VLOOKUP($A13&amp;"|"&amp;VLOOKUP(Nutrients_from_current_land_use!$B$8,Value_look_up_tables!$A$236:$B$237,2,FALSE)&amp;"|"&amp;VLOOKUP(Nutrients_from_current_land_use!$B$7,Value_look_up_tables!$A$197:$C$219,3,FALSE)&amp;"|"&amp;"DrainedArGr",Value_look_up_tables!$F$52:$H$193,3,FALSE))),IFERROR($B13*VLOOKUP($A13&amp;"|"&amp;VLOOKUP(Nutrients_from_current_land_use!$B$7,Value_look_up_tables!$A$197:$C$219,3,FALSE),Value_look_up_tables!$I$52:$K$185,3,FALSE),$B13*VLOOKUP($A13,Value_look_up_tables!$B$52:$M$185,12,FALSE)))))</f>
        <v/>
      </c>
      <c r="D13" s="5" t="str">
        <f>IF(
OR(ISBLANK($A13),ISBLANK($B13),ISBLANK($B$6),ISBLANK($B$5),ISBLANK($B$7),$A13="Residential urban land",$A13="Commercial/industrial urban land",$A13="Open urban land",$A13="Greenspace",$A13="Community food growing",$A13="Woodland",$A13="Shrub",$A13="Water"),"",IF(ISNUMBER(IFERROR($B13*VLOOKUP((IF(
OR($A13="Residential urban land",$A13="Commercial/industrial urban land",$A13="Open urban land",$A13="Greenspace",$A13="Community food growing",$A13="Woodland",$A13="Shrub",$A13="Water"),"|||"&amp;$A13,(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B13*VLOOKUP($A13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3" s="2"/>
      <c r="F13" s="2"/>
    </row>
    <row r="14" spans="1:6" ht="37.5" customHeight="1" x14ac:dyDescent="0.35">
      <c r="A14" s="4"/>
      <c r="B14" s="19"/>
      <c r="C14" s="94"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IFERROR($B14*VLOOKUP($A14&amp;"|"&amp;VLOOKUP(Nutrients_from_current_land_use!$B$8,Value_look_up_tables!$A$236:$B$237,2,FALSE)&amp;"|"&amp;VLOOKUP(Nutrients_from_current_land_use!$B$7,Value_look_up_tables!$A$197:$C$219,3,FALSE)&amp;"|"&amp;VLOOKUP($B$6,Value_look_up_tables!$A$227:$B$232,2,FALSE),Value_look_up_tables!$F$52:$H$193,3,FALSE),IFERROR($B14*VLOOKUP($A14&amp;"|"&amp;"TRUE"&amp;"|"&amp;VLOOKUP(Nutrients_from_current_land_use!$B$7,Value_look_up_tables!$A$197:$C$219,3,FALSE)&amp;"|"&amp;VLOOKUP($B$6,Value_look_up_tables!$A$227:$B$232,2,FALSE),Value_look_up_tables!$F$52:$H$193,3,FALSE),$B14*VLOOKUP($A14&amp;"|"&amp;VLOOKUP(Nutrients_from_current_land_use!$B$8,Value_look_up_tables!$A$236:$B$237,2,FALSE)&amp;"|"&amp;VLOOKUP(Nutrients_from_current_land_use!$B$7,Value_look_up_tables!$A$197:$C$219,3,FALSE)&amp;"|"&amp;"DrainedArGr",Value_look_up_tables!$F$52:$H$193,3,FALSE))),IFERROR($B14*VLOOKUP($A14&amp;"|"&amp;VLOOKUP(Nutrients_from_current_land_use!$B$7,Value_look_up_tables!$A$197:$C$219,3,FALSE),Value_look_up_tables!$I$52:$K$185,3,FALSE),$B14*VLOOKUP($A14,Value_look_up_tables!$B$52:$M$185,12,FALSE)))))</f>
        <v/>
      </c>
      <c r="D14" s="5" t="str">
        <f>IF(
OR(ISBLANK($A14),ISBLANK($B14),ISBLANK($B$6),ISBLANK($B$5),ISBLANK($B$7),$A14="Residential urban land",$A14="Commercial/industrial urban land",$A14="Open urban land",$A14="Greenspace",$A14="Community food growing",$A14="Woodland",$A14="Shrub",$A14="Water"),"",IF(ISNUMBER(IFERROR($B14*VLOOKUP((IF(
OR($A14="Residential urban land",$A14="Commercial/industrial urban land",$A14="Open urban land",$A14="Greenspace",$A14="Community food growing",$A14="Woodland",$A14="Shrub",$A14="Water"),"|||"&amp;$A14,(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B14*VLOOKUP($A14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4" s="2"/>
      <c r="F14" s="2"/>
    </row>
    <row r="15" spans="1:6" ht="37.5" customHeight="1" x14ac:dyDescent="0.35">
      <c r="A15" s="4"/>
      <c r="B15" s="19"/>
      <c r="C15" s="94"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IFERROR($B15*VLOOKUP($A15&amp;"|"&amp;VLOOKUP(Nutrients_from_current_land_use!$B$8,Value_look_up_tables!$A$236:$B$237,2,FALSE)&amp;"|"&amp;VLOOKUP(Nutrients_from_current_land_use!$B$7,Value_look_up_tables!$A$197:$C$219,3,FALSE)&amp;"|"&amp;VLOOKUP($B$6,Value_look_up_tables!$A$227:$B$232,2,FALSE),Value_look_up_tables!$F$52:$H$193,3,FALSE),IFERROR($B15*VLOOKUP($A15&amp;"|"&amp;"TRUE"&amp;"|"&amp;VLOOKUP(Nutrients_from_current_land_use!$B$7,Value_look_up_tables!$A$197:$C$219,3,FALSE)&amp;"|"&amp;VLOOKUP($B$6,Value_look_up_tables!$A$227:$B$232,2,FALSE),Value_look_up_tables!$F$52:$H$193,3,FALSE),$B15*VLOOKUP($A15&amp;"|"&amp;VLOOKUP(Nutrients_from_current_land_use!$B$8,Value_look_up_tables!$A$236:$B$237,2,FALSE)&amp;"|"&amp;VLOOKUP(Nutrients_from_current_land_use!$B$7,Value_look_up_tables!$A$197:$C$219,3,FALSE)&amp;"|"&amp;"DrainedArGr",Value_look_up_tables!$F$52:$H$193,3,FALSE))),IFERROR($B15*VLOOKUP($A15&amp;"|"&amp;VLOOKUP(Nutrients_from_current_land_use!$B$7,Value_look_up_tables!$A$197:$C$219,3,FALSE),Value_look_up_tables!$I$52:$K$185,3,FALSE),$B15*VLOOKUP($A15,Value_look_up_tables!$B$52:$M$185,12,FALSE)))))</f>
        <v/>
      </c>
      <c r="D15" s="5" t="str">
        <f>IF(
OR(ISBLANK($A15),ISBLANK($B15),ISBLANK($B$6),ISBLANK($B$5),ISBLANK($B$7),$A15="Residential urban land",$A15="Commercial/industrial urban land",$A15="Open urban land",$A15="Greenspace",$A15="Community food growing",$A15="Woodland",$A15="Shrub",$A15="Water"),"",IF(ISNUMBER(IFERROR($B15*VLOOKUP((IF(
OR($A15="Residential urban land",$A15="Commercial/industrial urban land",$A15="Open urban land",$A15="Greenspace",$A15="Community food growing",$A15="Woodland",$A15="Shrub",$A15="Water"),"|||"&amp;$A15,(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B15*VLOOKUP($A15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5" s="2"/>
      <c r="F15" s="2"/>
    </row>
    <row r="16" spans="1:6" ht="37.5" customHeight="1" x14ac:dyDescent="0.35">
      <c r="A16" s="4"/>
      <c r="B16" s="19"/>
      <c r="C16" s="94"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IFERROR($B16*VLOOKUP($A16&amp;"|"&amp;VLOOKUP(Nutrients_from_current_land_use!$B$8,Value_look_up_tables!$A$236:$B$237,2,FALSE)&amp;"|"&amp;VLOOKUP(Nutrients_from_current_land_use!$B$7,Value_look_up_tables!$A$197:$C$219,3,FALSE)&amp;"|"&amp;VLOOKUP($B$6,Value_look_up_tables!$A$227:$B$232,2,FALSE),Value_look_up_tables!$F$52:$H$193,3,FALSE),IFERROR($B16*VLOOKUP($A16&amp;"|"&amp;"TRUE"&amp;"|"&amp;VLOOKUP(Nutrients_from_current_land_use!$B$7,Value_look_up_tables!$A$197:$C$219,3,FALSE)&amp;"|"&amp;VLOOKUP($B$6,Value_look_up_tables!$A$227:$B$232,2,FALSE),Value_look_up_tables!$F$52:$H$193,3,FALSE),$B16*VLOOKUP($A16&amp;"|"&amp;VLOOKUP(Nutrients_from_current_land_use!$B$8,Value_look_up_tables!$A$236:$B$237,2,FALSE)&amp;"|"&amp;VLOOKUP(Nutrients_from_current_land_use!$B$7,Value_look_up_tables!$A$197:$C$219,3,FALSE)&amp;"|"&amp;"DrainedArGr",Value_look_up_tables!$F$52:$H$193,3,FALSE))),IFERROR($B16*VLOOKUP($A16&amp;"|"&amp;VLOOKUP(Nutrients_from_current_land_use!$B$7,Value_look_up_tables!$A$197:$C$219,3,FALSE),Value_look_up_tables!$I$52:$K$185,3,FALSE),$B16*VLOOKUP($A16,Value_look_up_tables!$B$52:$M$185,12,FALSE)))))</f>
        <v/>
      </c>
      <c r="D16" s="5" t="str">
        <f>IF(
OR(ISBLANK($A16),ISBLANK($B16),ISBLANK($B$6),ISBLANK($B$5),ISBLANK($B$7),$A16="Residential urban land",$A16="Commercial/industrial urban land",$A16="Open urban land",$A16="Greenspace",$A16="Community food growing",$A16="Woodland",$A16="Shrub",$A16="Water"),"",IF(ISNUMBER(IFERROR($B16*VLOOKUP((IF(
OR($A16="Residential urban land",$A16="Commercial/industrial urban land",$A16="Open urban land",$A16="Greenspace",$A16="Community food growing",$A16="Woodland",$A16="Shrub",$A16="Water"),"|||"&amp;$A16,(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B16*VLOOKUP($A16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6" s="2"/>
      <c r="F16" s="2"/>
    </row>
    <row r="17" spans="1:6" ht="37.5" customHeight="1" x14ac:dyDescent="0.35">
      <c r="A17" s="4"/>
      <c r="B17" s="19"/>
      <c r="C17" s="94"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IFERROR($B17*VLOOKUP($A17&amp;"|"&amp;VLOOKUP(Nutrients_from_current_land_use!$B$8,Value_look_up_tables!$A$236:$B$237,2,FALSE)&amp;"|"&amp;VLOOKUP(Nutrients_from_current_land_use!$B$7,Value_look_up_tables!$A$197:$C$219,3,FALSE)&amp;"|"&amp;VLOOKUP($B$6,Value_look_up_tables!$A$227:$B$232,2,FALSE),Value_look_up_tables!$F$52:$H$193,3,FALSE),IFERROR($B17*VLOOKUP($A17&amp;"|"&amp;"TRUE"&amp;"|"&amp;VLOOKUP(Nutrients_from_current_land_use!$B$7,Value_look_up_tables!$A$197:$C$219,3,FALSE)&amp;"|"&amp;VLOOKUP($B$6,Value_look_up_tables!$A$227:$B$232,2,FALSE),Value_look_up_tables!$F$52:$H$193,3,FALSE),$B17*VLOOKUP($A17&amp;"|"&amp;VLOOKUP(Nutrients_from_current_land_use!$B$8,Value_look_up_tables!$A$236:$B$237,2,FALSE)&amp;"|"&amp;VLOOKUP(Nutrients_from_current_land_use!$B$7,Value_look_up_tables!$A$197:$C$219,3,FALSE)&amp;"|"&amp;"DrainedArGr",Value_look_up_tables!$F$52:$H$193,3,FALSE))),IFERROR($B17*VLOOKUP($A17&amp;"|"&amp;VLOOKUP(Nutrients_from_current_land_use!$B$7,Value_look_up_tables!$A$197:$C$219,3,FALSE),Value_look_up_tables!$I$52:$K$185,3,FALSE),$B17*VLOOKUP($A17,Value_look_up_tables!$B$52:$M$185,12,FALSE)))))</f>
        <v/>
      </c>
      <c r="D17" s="5" t="str">
        <f>IF(
OR(ISBLANK($A17),ISBLANK($B17),ISBLANK($B$6),ISBLANK($B$5),ISBLANK($B$7),$A17="Residential urban land",$A17="Commercial/industrial urban land",$A17="Open urban land",$A17="Greenspace",$A17="Community food growing",$A17="Woodland",$A17="Shrub",$A17="Water"),"",IF(ISNUMBER(IFERROR($B17*VLOOKUP((IF(
OR($A17="Residential urban land",$A17="Commercial/industrial urban land",$A17="Open urban land",$A17="Greenspace",$A17="Community food growing",$A17="Woodland",$A17="Shrub",$A17="Water"),"|||"&amp;$A17,(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B17*VLOOKUP($A17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7" s="2"/>
      <c r="F17" s="2"/>
    </row>
    <row r="18" spans="1:6" ht="37.5" customHeight="1" x14ac:dyDescent="0.35">
      <c r="A18" s="4"/>
      <c r="B18" s="19"/>
      <c r="C18" s="94"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IFERROR($B18*VLOOKUP($A18&amp;"|"&amp;VLOOKUP(Nutrients_from_current_land_use!$B$8,Value_look_up_tables!$A$236:$B$237,2,FALSE)&amp;"|"&amp;VLOOKUP(Nutrients_from_current_land_use!$B$7,Value_look_up_tables!$A$197:$C$219,3,FALSE)&amp;"|"&amp;VLOOKUP($B$6,Value_look_up_tables!$A$227:$B$232,2,FALSE),Value_look_up_tables!$F$52:$H$193,3,FALSE),IFERROR($B18*VLOOKUP($A18&amp;"|"&amp;"TRUE"&amp;"|"&amp;VLOOKUP(Nutrients_from_current_land_use!$B$7,Value_look_up_tables!$A$197:$C$219,3,FALSE)&amp;"|"&amp;VLOOKUP($B$6,Value_look_up_tables!$A$227:$B$232,2,FALSE),Value_look_up_tables!$F$52:$H$193,3,FALSE),$B18*VLOOKUP($A18&amp;"|"&amp;VLOOKUP(Nutrients_from_current_land_use!$B$8,Value_look_up_tables!$A$236:$B$237,2,FALSE)&amp;"|"&amp;VLOOKUP(Nutrients_from_current_land_use!$B$7,Value_look_up_tables!$A$197:$C$219,3,FALSE)&amp;"|"&amp;"DrainedArGr",Value_look_up_tables!$F$52:$H$193,3,FALSE))),IFERROR($B18*VLOOKUP($A18&amp;"|"&amp;VLOOKUP(Nutrients_from_current_land_use!$B$7,Value_look_up_tables!$A$197:$C$219,3,FALSE),Value_look_up_tables!$I$52:$K$185,3,FALSE),$B18*VLOOKUP($A18,Value_look_up_tables!$B$52:$M$185,12,FALSE)))))</f>
        <v/>
      </c>
      <c r="D18" s="5" t="str">
        <f>IF(
OR(ISBLANK($A18),ISBLANK($B18),ISBLANK($B$6),ISBLANK($B$5),ISBLANK($B$7),$A18="Residential urban land",$A18="Commercial/industrial urban land",$A18="Open urban land",$A18="Greenspace",$A18="Community food growing",$A18="Woodland",$A18="Shrub",$A18="Water"),"",IF(ISNUMBER(IFERROR($B18*VLOOKUP((IF(
OR($A18="Residential urban land",$A18="Commercial/industrial urban land",$A18="Open urban land",$A18="Greenspace",$A18="Community food growing",$A18="Woodland",$A18="Shrub",$A18="Water"),"|||"&amp;$A18,(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B18*VLOOKUP($A18&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8" s="2"/>
      <c r="F18" s="2"/>
    </row>
    <row r="19" spans="1:6" ht="37.5" customHeight="1" x14ac:dyDescent="0.35">
      <c r="A19" s="4"/>
      <c r="B19" s="19"/>
      <c r="C19" s="94"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IFERROR($B19*VLOOKUP($A19&amp;"|"&amp;VLOOKUP(Nutrients_from_current_land_use!$B$8,Value_look_up_tables!$A$236:$B$237,2,FALSE)&amp;"|"&amp;VLOOKUP(Nutrients_from_current_land_use!$B$7,Value_look_up_tables!$A$197:$C$219,3,FALSE)&amp;"|"&amp;VLOOKUP($B$6,Value_look_up_tables!$A$227:$B$232,2,FALSE),Value_look_up_tables!$F$52:$H$193,3,FALSE),IFERROR($B19*VLOOKUP($A19&amp;"|"&amp;"TRUE"&amp;"|"&amp;VLOOKUP(Nutrients_from_current_land_use!$B$7,Value_look_up_tables!$A$197:$C$219,3,FALSE)&amp;"|"&amp;VLOOKUP($B$6,Value_look_up_tables!$A$227:$B$232,2,FALSE),Value_look_up_tables!$F$52:$H$193,3,FALSE),$B19*VLOOKUP($A19&amp;"|"&amp;VLOOKUP(Nutrients_from_current_land_use!$B$8,Value_look_up_tables!$A$236:$B$237,2,FALSE)&amp;"|"&amp;VLOOKUP(Nutrients_from_current_land_use!$B$7,Value_look_up_tables!$A$197:$C$219,3,FALSE)&amp;"|"&amp;"DrainedArGr",Value_look_up_tables!$F$52:$H$193,3,FALSE))),IFERROR($B19*VLOOKUP($A19&amp;"|"&amp;VLOOKUP(Nutrients_from_current_land_use!$B$7,Value_look_up_tables!$A$197:$C$219,3,FALSE),Value_look_up_tables!$I$52:$K$185,3,FALSE),$B19*VLOOKUP($A19,Value_look_up_tables!$B$52:$M$185,12,FALSE)))))</f>
        <v/>
      </c>
      <c r="D19" s="5" t="str">
        <f>IF(
OR(ISBLANK($A19),ISBLANK($B19),ISBLANK($B$6),ISBLANK($B$5),ISBLANK($B$7),$A19="Residential urban land",$A19="Commercial/industrial urban land",$A19="Open urban land",$A19="Greenspace",$A19="Community food growing",$A19="Woodland",$A19="Shrub",$A19="Water"),"",IF(ISNUMBER(IFERROR($B19*VLOOKUP((IF(
OR($A19="Residential urban land",$A19="Commercial/industrial urban land",$A19="Open urban land",$A19="Greenspace",$A19="Community food growing",$A19="Woodland",$A19="Shrub",$A19="Water"),"|||"&amp;$A19,(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B19*VLOOKUP($A19&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19" s="2"/>
      <c r="F19" s="2"/>
    </row>
    <row r="20" spans="1:6" ht="37.5" customHeight="1" x14ac:dyDescent="0.35">
      <c r="A20" s="4"/>
      <c r="B20" s="19"/>
      <c r="C20" s="94"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IFERROR($B20*VLOOKUP($A20&amp;"|"&amp;VLOOKUP(Nutrients_from_current_land_use!$B$8,Value_look_up_tables!$A$236:$B$237,2,FALSE)&amp;"|"&amp;VLOOKUP(Nutrients_from_current_land_use!$B$7,Value_look_up_tables!$A$197:$C$219,3,FALSE)&amp;"|"&amp;VLOOKUP($B$6,Value_look_up_tables!$A$227:$B$232,2,FALSE),Value_look_up_tables!$F$52:$H$193,3,FALSE),IFERROR($B20*VLOOKUP($A20&amp;"|"&amp;"TRUE"&amp;"|"&amp;VLOOKUP(Nutrients_from_current_land_use!$B$7,Value_look_up_tables!$A$197:$C$219,3,FALSE)&amp;"|"&amp;VLOOKUP($B$6,Value_look_up_tables!$A$227:$B$232,2,FALSE),Value_look_up_tables!$F$52:$H$193,3,FALSE),$B20*VLOOKUP($A20&amp;"|"&amp;VLOOKUP(Nutrients_from_current_land_use!$B$8,Value_look_up_tables!$A$236:$B$237,2,FALSE)&amp;"|"&amp;VLOOKUP(Nutrients_from_current_land_use!$B$7,Value_look_up_tables!$A$197:$C$219,3,FALSE)&amp;"|"&amp;"DrainedArGr",Value_look_up_tables!$F$52:$H$193,3,FALSE))),IFERROR($B20*VLOOKUP($A20&amp;"|"&amp;VLOOKUP(Nutrients_from_current_land_use!$B$7,Value_look_up_tables!$A$197:$C$219,3,FALSE),Value_look_up_tables!$I$52:$K$185,3,FALSE),$B20*VLOOKUP($A20,Value_look_up_tables!$B$52:$M$185,12,FALSE)))))</f>
        <v/>
      </c>
      <c r="D20" s="5" t="str">
        <f>IF(
OR(ISBLANK($A20),ISBLANK($B20),ISBLANK($B$6),ISBLANK($B$5),ISBLANK($B$7),$A20="Residential urban land",$A20="Commercial/industrial urban land",$A20="Open urban land",$A20="Greenspace",$A20="Community food growing",$A20="Woodland",$A20="Shrub",$A20="Water"),"",IF(ISNUMBER(IFERROR($B20*VLOOKUP((IF(
OR($A20="Residential urban land",$A20="Commercial/industrial urban land",$A20="Open urban land",$A20="Greenspace",$A20="Community food growing",$A20="Woodland",$A20="Shrub",$A20="Water"),"|||"&amp;$A20,(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B20*VLOOKUP($A20&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0" s="2"/>
      <c r="F20" s="2"/>
    </row>
    <row r="21" spans="1:6" ht="37.5" customHeight="1" x14ac:dyDescent="0.35">
      <c r="A21" s="4"/>
      <c r="B21" s="19"/>
      <c r="C21" s="94"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IFERROR($B21*VLOOKUP($A21&amp;"|"&amp;VLOOKUP(Nutrients_from_current_land_use!$B$8,Value_look_up_tables!$A$236:$B$237,2,FALSE)&amp;"|"&amp;VLOOKUP(Nutrients_from_current_land_use!$B$7,Value_look_up_tables!$A$197:$C$219,3,FALSE)&amp;"|"&amp;VLOOKUP($B$6,Value_look_up_tables!$A$227:$B$232,2,FALSE),Value_look_up_tables!$F$52:$H$193,3,FALSE),IFERROR($B21*VLOOKUP($A21&amp;"|"&amp;"TRUE"&amp;"|"&amp;VLOOKUP(Nutrients_from_current_land_use!$B$7,Value_look_up_tables!$A$197:$C$219,3,FALSE)&amp;"|"&amp;VLOOKUP($B$6,Value_look_up_tables!$A$227:$B$232,2,FALSE),Value_look_up_tables!$F$52:$H$193,3,FALSE),$B21*VLOOKUP($A21&amp;"|"&amp;VLOOKUP(Nutrients_from_current_land_use!$B$8,Value_look_up_tables!$A$236:$B$237,2,FALSE)&amp;"|"&amp;VLOOKUP(Nutrients_from_current_land_use!$B$7,Value_look_up_tables!$A$197:$C$219,3,FALSE)&amp;"|"&amp;"DrainedArGr",Value_look_up_tables!$F$52:$H$193,3,FALSE))),IFERROR($B21*VLOOKUP($A21&amp;"|"&amp;VLOOKUP(Nutrients_from_current_land_use!$B$7,Value_look_up_tables!$A$197:$C$219,3,FALSE),Value_look_up_tables!$I$52:$K$185,3,FALSE),$B21*VLOOKUP($A21,Value_look_up_tables!$B$52:$M$185,12,FALSE)))))</f>
        <v/>
      </c>
      <c r="D21" s="5" t="str">
        <f>IF(
OR(ISBLANK($A21),ISBLANK($B21),ISBLANK($B$6),ISBLANK($B$5),ISBLANK($B$7),$A21="Residential urban land",$A21="Commercial/industrial urban land",$A21="Open urban land",$A21="Greenspace",$A21="Community food growing",$A21="Woodland",$A21="Shrub",$A21="Water"),"",IF(ISNUMBER(IFERROR($B21*VLOOKUP((IF(
OR($A21="Residential urban land",$A21="Commercial/industrial urban land",$A21="Open urban land",$A21="Greenspace",$A21="Community food growing",$A21="Woodland",$A21="Shrub",$A21="Water"),"|||"&amp;$A21,(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B21*VLOOKUP($A21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1" s="2"/>
      <c r="F21" s="2"/>
    </row>
    <row r="22" spans="1:6" ht="37.5" customHeight="1" x14ac:dyDescent="0.35">
      <c r="A22" s="4"/>
      <c r="B22" s="19"/>
      <c r="C22" s="94"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IFERROR($B22*VLOOKUP($A22&amp;"|"&amp;VLOOKUP(Nutrients_from_current_land_use!$B$8,Value_look_up_tables!$A$236:$B$237,2,FALSE)&amp;"|"&amp;VLOOKUP(Nutrients_from_current_land_use!$B$7,Value_look_up_tables!$A$197:$C$219,3,FALSE)&amp;"|"&amp;VLOOKUP($B$6,Value_look_up_tables!$A$227:$B$232,2,FALSE),Value_look_up_tables!$F$52:$H$193,3,FALSE),IFERROR($B22*VLOOKUP($A22&amp;"|"&amp;"TRUE"&amp;"|"&amp;VLOOKUP(Nutrients_from_current_land_use!$B$7,Value_look_up_tables!$A$197:$C$219,3,FALSE)&amp;"|"&amp;VLOOKUP($B$6,Value_look_up_tables!$A$227:$B$232,2,FALSE),Value_look_up_tables!$F$52:$H$193,3,FALSE),$B22*VLOOKUP($A22&amp;"|"&amp;VLOOKUP(Nutrients_from_current_land_use!$B$8,Value_look_up_tables!$A$236:$B$237,2,FALSE)&amp;"|"&amp;VLOOKUP(Nutrients_from_current_land_use!$B$7,Value_look_up_tables!$A$197:$C$219,3,FALSE)&amp;"|"&amp;"DrainedArGr",Value_look_up_tables!$F$52:$H$193,3,FALSE))),IFERROR($B22*VLOOKUP($A22&amp;"|"&amp;VLOOKUP(Nutrients_from_current_land_use!$B$7,Value_look_up_tables!$A$197:$C$219,3,FALSE),Value_look_up_tables!$I$52:$K$185,3,FALSE),$B22*VLOOKUP($A22,Value_look_up_tables!$B$52:$M$185,12,FALSE)))))</f>
        <v/>
      </c>
      <c r="D22" s="5" t="str">
        <f>IF(
OR(ISBLANK($A22),ISBLANK($B22),ISBLANK($B$6),ISBLANK($B$5),ISBLANK($B$7),$A22="Residential urban land",$A22="Commercial/industrial urban land",$A22="Open urban land",$A22="Greenspace",$A22="Community food growing",$A22="Woodland",$A22="Shrub",$A22="Water"),"",IF(ISNUMBER(IFERROR($B22*VLOOKUP((IF(
OR($A22="Residential urban land",$A22="Commercial/industrial urban land",$A22="Open urban land",$A22="Greenspace",$A22="Community food growing",$A22="Woodland",$A22="Shrub",$A22="Water"),"|||"&amp;$A22,(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B22*VLOOKUP($A22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2" s="2"/>
      <c r="F22" s="24"/>
    </row>
    <row r="23" spans="1:6" ht="37.5" customHeight="1" x14ac:dyDescent="0.35">
      <c r="A23" s="4"/>
      <c r="B23" s="19"/>
      <c r="C23" s="94"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IFERROR($B23*VLOOKUP($A23&amp;"|"&amp;VLOOKUP(Nutrients_from_current_land_use!$B$8,Value_look_up_tables!$A$236:$B$237,2,FALSE)&amp;"|"&amp;VLOOKUP(Nutrients_from_current_land_use!$B$7,Value_look_up_tables!$A$197:$C$219,3,FALSE)&amp;"|"&amp;VLOOKUP($B$6,Value_look_up_tables!$A$227:$B$232,2,FALSE),Value_look_up_tables!$F$52:$H$193,3,FALSE),IFERROR($B23*VLOOKUP($A23&amp;"|"&amp;"TRUE"&amp;"|"&amp;VLOOKUP(Nutrients_from_current_land_use!$B$7,Value_look_up_tables!$A$197:$C$219,3,FALSE)&amp;"|"&amp;VLOOKUP($B$6,Value_look_up_tables!$A$227:$B$232,2,FALSE),Value_look_up_tables!$F$52:$H$193,3,FALSE),$B23*VLOOKUP($A23&amp;"|"&amp;VLOOKUP(Nutrients_from_current_land_use!$B$8,Value_look_up_tables!$A$236:$B$237,2,FALSE)&amp;"|"&amp;VLOOKUP(Nutrients_from_current_land_use!$B$7,Value_look_up_tables!$A$197:$C$219,3,FALSE)&amp;"|"&amp;"DrainedArGr",Value_look_up_tables!$F$52:$H$193,3,FALSE))),IFERROR($B23*VLOOKUP($A23&amp;"|"&amp;VLOOKUP(Nutrients_from_current_land_use!$B$7,Value_look_up_tables!$A$197:$C$219,3,FALSE),Value_look_up_tables!$I$52:$K$185,3,FALSE),$B23*VLOOKUP($A23,Value_look_up_tables!$B$52:$M$185,12,FALSE)))))</f>
        <v/>
      </c>
      <c r="D23" s="5" t="str">
        <f>IF(
OR(ISBLANK($A23),ISBLANK($B23),ISBLANK($B$6),ISBLANK($B$5),ISBLANK($B$7),$A23="Residential urban land",$A23="Commercial/industrial urban land",$A23="Open urban land",$A23="Greenspace",$A23="Community food growing",$A23="Woodland",$A23="Shrub",$A23="Water"),"",IF(ISNUMBER(IFERROR($B23*VLOOKUP((IF(
OR($A23="Residential urban land",$A23="Commercial/industrial urban land",$A23="Open urban land",$A23="Greenspace",$A23="Community food growing",$A23="Woodland",$A23="Shrub",$A23="Water"),"|||"&amp;$A23,(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B23*VLOOKUP($A23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3" s="2"/>
      <c r="F23" s="2"/>
    </row>
    <row r="24" spans="1:6" ht="37.5" customHeight="1" x14ac:dyDescent="0.35">
      <c r="A24" s="4"/>
      <c r="B24" s="19"/>
      <c r="C24" s="94"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IFERROR($B24*VLOOKUP($A24&amp;"|"&amp;VLOOKUP(Nutrients_from_current_land_use!$B$8,Value_look_up_tables!$A$236:$B$237,2,FALSE)&amp;"|"&amp;VLOOKUP(Nutrients_from_current_land_use!$B$7,Value_look_up_tables!$A$197:$C$219,3,FALSE)&amp;"|"&amp;VLOOKUP($B$6,Value_look_up_tables!$A$227:$B$232,2,FALSE),Value_look_up_tables!$F$52:$H$193,3,FALSE),IFERROR($B24*VLOOKUP($A24&amp;"|"&amp;"TRUE"&amp;"|"&amp;VLOOKUP(Nutrients_from_current_land_use!$B$7,Value_look_up_tables!$A$197:$C$219,3,FALSE)&amp;"|"&amp;VLOOKUP($B$6,Value_look_up_tables!$A$227:$B$232,2,FALSE),Value_look_up_tables!$F$52:$H$193,3,FALSE),$B24*VLOOKUP($A24&amp;"|"&amp;VLOOKUP(Nutrients_from_current_land_use!$B$8,Value_look_up_tables!$A$236:$B$237,2,FALSE)&amp;"|"&amp;VLOOKUP(Nutrients_from_current_land_use!$B$7,Value_look_up_tables!$A$197:$C$219,3,FALSE)&amp;"|"&amp;"DrainedArGr",Value_look_up_tables!$F$52:$H$193,3,FALSE))),IFERROR($B24*VLOOKUP($A24&amp;"|"&amp;VLOOKUP(Nutrients_from_current_land_use!$B$7,Value_look_up_tables!$A$197:$C$219,3,FALSE),Value_look_up_tables!$I$52:$K$185,3,FALSE),$B24*VLOOKUP($A24,Value_look_up_tables!$B$52:$M$185,12,FALSE)))))</f>
        <v/>
      </c>
      <c r="D24" s="5" t="str">
        <f>IF(
OR(ISBLANK($A24),ISBLANK($B24),ISBLANK($B$6),ISBLANK($B$5),ISBLANK($B$7),$A24="Residential urban land",$A24="Commercial/industrial urban land",$A24="Open urban land",$A24="Greenspace",$A24="Community food growing",$A24="Woodland",$A24="Shrub",$A24="Water"),"",IF(ISNUMBER(IFERROR($B24*VLOOKUP((IF(
OR($A24="Residential urban land",$A24="Commercial/industrial urban land",$A24="Open urban land",$A24="Greenspace",$A24="Community food growing",$A24="Woodland",$A24="Shrub",$A24="Water"),"|||"&amp;$A24,(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B24*VLOOKUP($A24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4" s="2"/>
      <c r="F24" s="2"/>
    </row>
    <row r="25" spans="1:6" ht="37.5" customHeight="1" x14ac:dyDescent="0.35">
      <c r="A25" s="4"/>
      <c r="B25" s="19"/>
      <c r="C25" s="94"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IFERROR($B25*VLOOKUP($A25&amp;"|"&amp;VLOOKUP(Nutrients_from_current_land_use!$B$8,Value_look_up_tables!$A$236:$B$237,2,FALSE)&amp;"|"&amp;VLOOKUP(Nutrients_from_current_land_use!$B$7,Value_look_up_tables!$A$197:$C$219,3,FALSE)&amp;"|"&amp;VLOOKUP($B$6,Value_look_up_tables!$A$227:$B$232,2,FALSE),Value_look_up_tables!$F$52:$H$193,3,FALSE),IFERROR($B25*VLOOKUP($A25&amp;"|"&amp;"TRUE"&amp;"|"&amp;VLOOKUP(Nutrients_from_current_land_use!$B$7,Value_look_up_tables!$A$197:$C$219,3,FALSE)&amp;"|"&amp;VLOOKUP($B$6,Value_look_up_tables!$A$227:$B$232,2,FALSE),Value_look_up_tables!$F$52:$H$193,3,FALSE),$B25*VLOOKUP($A25&amp;"|"&amp;VLOOKUP(Nutrients_from_current_land_use!$B$8,Value_look_up_tables!$A$236:$B$237,2,FALSE)&amp;"|"&amp;VLOOKUP(Nutrients_from_current_land_use!$B$7,Value_look_up_tables!$A$197:$C$219,3,FALSE)&amp;"|"&amp;"DrainedArGr",Value_look_up_tables!$F$52:$H$193,3,FALSE))),IFERROR($B25*VLOOKUP($A25&amp;"|"&amp;VLOOKUP(Nutrients_from_current_land_use!$B$7,Value_look_up_tables!$A$197:$C$219,3,FALSE),Value_look_up_tables!$I$52:$K$185,3,FALSE),$B25*VLOOKUP($A25,Value_look_up_tables!$B$52:$M$185,12,FALSE)))))</f>
        <v/>
      </c>
      <c r="D25" s="5" t="str">
        <f>IF(
OR(ISBLANK($A25),ISBLANK($B25),ISBLANK($B$6),ISBLANK($B$5),ISBLANK($B$7),$A25="Residential urban land",$A25="Commercial/industrial urban land",$A25="Open urban land",$A25="Greenspace",$A25="Community food growing",$A25="Woodland",$A25="Shrub",$A25="Water"),"",IF(ISNUMBER(IFERROR($B25*VLOOKUP((IF(
OR($A25="Residential urban land",$A25="Commercial/industrial urban land",$A25="Open urban land",$A25="Greenspace",$A25="Community food growing",$A25="Woodland",$A25="Shrub",$A25="Water"),"|||"&amp;$A25,(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B25*VLOOKUP($A25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c r="E25" s="2"/>
      <c r="F25" s="2"/>
    </row>
    <row r="26" spans="1:6" ht="37.5" customHeight="1" x14ac:dyDescent="0.35">
      <c r="A26" s="4"/>
      <c r="B26" s="19"/>
      <c r="C26" s="94"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IFERROR($B26*VLOOKUP($A26&amp;"|"&amp;VLOOKUP(Nutrients_from_current_land_use!$B$8,Value_look_up_tables!$A$236:$B$237,2,FALSE)&amp;"|"&amp;VLOOKUP(Nutrients_from_current_land_use!$B$7,Value_look_up_tables!$A$197:$C$219,3,FALSE)&amp;"|"&amp;VLOOKUP($B$6,Value_look_up_tables!$A$227:$B$232,2,FALSE),Value_look_up_tables!$F$52:$H$193,3,FALSE),IFERROR($B26*VLOOKUP($A26&amp;"|"&amp;"TRUE"&amp;"|"&amp;VLOOKUP(Nutrients_from_current_land_use!$B$7,Value_look_up_tables!$A$197:$C$219,3,FALSE)&amp;"|"&amp;VLOOKUP($B$6,Value_look_up_tables!$A$227:$B$232,2,FALSE),Value_look_up_tables!$F$52:$H$193,3,FALSE),$B26*VLOOKUP($A26&amp;"|"&amp;VLOOKUP(Nutrients_from_current_land_use!$B$8,Value_look_up_tables!$A$236:$B$237,2,FALSE)&amp;"|"&amp;VLOOKUP(Nutrients_from_current_land_use!$B$7,Value_look_up_tables!$A$197:$C$219,3,FALSE)&amp;"|"&amp;"DrainedArGr",Value_look_up_tables!$F$52:$H$193,3,FALSE))),IFERROR($B26*VLOOKUP($A26&amp;"|"&amp;VLOOKUP(Nutrients_from_current_land_use!$B$7,Value_look_up_tables!$A$197:$C$219,3,FALSE),Value_look_up_tables!$I$52:$K$185,3,FALSE),$B26*VLOOKUP($A26,Value_look_up_tables!$B$52:$M$185,12,FALSE)))))</f>
        <v/>
      </c>
      <c r="D26" s="5" t="str">
        <f>IF(
OR(ISBLANK($A26),ISBLANK($B26),ISBLANK($B$6),ISBLANK($B$5),ISBLANK($B$7),$A26="Residential urban land",$A26="Commercial/industrial urban land",$A26="Open urban land",$A26="Greenspace",$A26="Community food growing",$A26="Woodland",$A26="Shrub",$A26="Water"),"",IF(ISNUMBER(IFERROR($B26*VLOOKUP((IF(
OR($A26="Residential urban land",$A26="Commercial/industrial urban land",$A26="Open urban land",$A26="Greenspace",$A26="Community food growing",$A26="Woodland",$A26="Shrub",$A26="Water"),"|||"&amp;$A26,(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B26*VLOOKUP($A26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row>
    <row r="27" spans="1:6" ht="37.5" customHeight="1" x14ac:dyDescent="0.35">
      <c r="A27" s="4"/>
      <c r="B27" s="19"/>
      <c r="C27" s="94"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IFERROR($B27*VLOOKUP($A27&amp;"|"&amp;VLOOKUP(Nutrients_from_current_land_use!$B$8,Value_look_up_tables!$A$236:$B$237,2,FALSE)&amp;"|"&amp;VLOOKUP(Nutrients_from_current_land_use!$B$7,Value_look_up_tables!$A$197:$C$219,3,FALSE)&amp;"|"&amp;VLOOKUP($B$6,Value_look_up_tables!$A$227:$B$232,2,FALSE),Value_look_up_tables!$F$52:$H$193,3,FALSE),IFERROR($B27*VLOOKUP($A27&amp;"|"&amp;"TRUE"&amp;"|"&amp;VLOOKUP(Nutrients_from_current_land_use!$B$7,Value_look_up_tables!$A$197:$C$219,3,FALSE)&amp;"|"&amp;VLOOKUP($B$6,Value_look_up_tables!$A$227:$B$232,2,FALSE),Value_look_up_tables!$F$52:$H$193,3,FALSE),$B27*VLOOKUP($A27&amp;"|"&amp;VLOOKUP(Nutrients_from_current_land_use!$B$8,Value_look_up_tables!$A$236:$B$237,2,FALSE)&amp;"|"&amp;VLOOKUP(Nutrients_from_current_land_use!$B$7,Value_look_up_tables!$A$197:$C$219,3,FALSE)&amp;"|"&amp;"DrainedArGr",Value_look_up_tables!$F$52:$H$193,3,FALSE))),IFERROR($B27*VLOOKUP($A27&amp;"|"&amp;VLOOKUP(Nutrients_from_current_land_use!$B$7,Value_look_up_tables!$A$197:$C$219,3,FALSE),Value_look_up_tables!$I$52:$K$185,3,FALSE),$B27*VLOOKUP($A27,Value_look_up_tables!$B$52:$M$185,12,FALSE)))))</f>
        <v/>
      </c>
      <c r="D27" s="5" t="str">
        <f>IF(
OR(ISBLANK($A27),ISBLANK($B27),ISBLANK($B$6),ISBLANK($B$5),ISBLANK($B$7),$A27="Residential urban land",$A27="Commercial/industrial urban land",$A27="Open urban land",$A27="Greenspace",$A27="Community food growing",$A27="Woodland",$A27="Shrub",$A27="Water"),"",IF(ISNUMBER(IFERROR($B27*VLOOKUP((IF(
OR($A27="Residential urban land",$A27="Commercial/industrial urban land",$A27="Open urban land",$A27="Greenspace",$A27="Community food growing",$A27="Woodland",$A27="Shrub",$A27="Water"),"|||"&amp;$A27,(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B27*VLOOKUP($A27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coefficient."))),"","In the absence of real world data, this figure has been generated using the most relevant average nutrient export coefficient."))</f>
        <v/>
      </c>
    </row>
    <row r="28" spans="1:6" ht="24" customHeight="1" x14ac:dyDescent="0.35">
      <c r="A28" s="45" t="s">
        <v>94</v>
      </c>
      <c r="B28" s="20">
        <f>SUM(B11:B27)</f>
        <v>0</v>
      </c>
      <c r="C28" s="21">
        <f>SUM(C11:C27)</f>
        <v>0</v>
      </c>
      <c r="D28" s="25"/>
    </row>
    <row r="30" spans="1:6" x14ac:dyDescent="0.35">
      <c r="F30" s="26"/>
    </row>
  </sheetData>
  <sheetProtection algorithmName="SHA-512" hashValue="9Ja0GRKjuU0KTx/GJwECu9vQkzjnz2ox25H6Q/mIPa7bFObCuA4RBy2dPs7PAdbwvhQCRJpAy4KFIUTGuvkDxA==" saltValue="mnJvzibbWenpnGgGlRFVt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Value_look_up_tables!$A$223</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Value_look_up_tables!$A$205:$A$212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Value_look_up_tables!$A$236:$A$237</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Value_look_up_tables!$A$227:$A$232</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Value_look_up_tables!$A$261:$A$276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80.54296875" style="38" customWidth="1"/>
    <col min="2" max="2" width="40.54296875" style="38" customWidth="1"/>
    <col min="3" max="3" width="24.54296875" style="38" customWidth="1"/>
    <col min="4" max="473" width="8.54296875" style="38" customWidth="1"/>
    <col min="474" max="16384" width="9.1796875" style="38"/>
  </cols>
  <sheetData>
    <row r="1" spans="1:3" ht="30" x14ac:dyDescent="0.3">
      <c r="A1" s="14" t="s">
        <v>15</v>
      </c>
      <c r="B1" s="37"/>
      <c r="C1" s="37"/>
    </row>
    <row r="2" spans="1:3" ht="224.15" customHeight="1" x14ac:dyDescent="0.3">
      <c r="A2" s="33" t="s">
        <v>95</v>
      </c>
      <c r="B2" s="79"/>
      <c r="C2" s="37"/>
    </row>
    <row r="3" spans="1:3" ht="70" customHeight="1" x14ac:dyDescent="0.4">
      <c r="A3" s="23" t="s">
        <v>96</v>
      </c>
      <c r="B3" s="39"/>
      <c r="C3" s="39"/>
    </row>
    <row r="4" spans="1:3" ht="54" customHeight="1" x14ac:dyDescent="0.3">
      <c r="A4" s="34" t="s">
        <v>97</v>
      </c>
      <c r="B4" s="34" t="s">
        <v>91</v>
      </c>
      <c r="C4" s="34" t="s">
        <v>98</v>
      </c>
    </row>
    <row r="5" spans="1:3" ht="23.25" customHeight="1" x14ac:dyDescent="0.3">
      <c r="A5" s="35"/>
      <c r="B5" s="19"/>
      <c r="C5" s="42" t="str">
        <f>IF(OR(ISBLANK(A5),ISBLANK(B5)),"",B5*VLOOKUP((IF(OR(A5="Residential urban land",A5="Commercial/industrial urban land",A5="Open urban land",A5="Greenspace",A5="Community food growing",A5="Woodland",A5="Shrub", A5="Water"), "|||"&amp;A5, (VLOOKUP(Nutrients_from_current_land_use!$B$5,Value_look_up_tables!$A$223:$B$223,2,FALSE)&amp;"|"&amp;A5&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6" spans="1:3" ht="23.25" customHeight="1" x14ac:dyDescent="0.3">
      <c r="A6" s="35"/>
      <c r="B6" s="18"/>
      <c r="C6" s="40" t="str">
        <f>IF(OR(ISBLANK(A6),ISBLANK(B6)),"",B6*VLOOKUP((IF(OR(A6="Residential urban land",A6="Commercial/industrial urban land",A6="Open urban land",A6="Greenspace",A6="Community food growing",A6="Woodland",A6="Shrub", A6="Water"), "|||"&amp;A6, (VLOOKUP(Nutrients_from_current_land_use!$B$5,Value_look_up_tables!$A$223:$B$223,2,FALSE)&amp;"|"&amp;A6&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7" spans="1:3" ht="23.25" customHeight="1" x14ac:dyDescent="0.3">
      <c r="A7" s="35"/>
      <c r="B7" s="18"/>
      <c r="C7" s="40" t="str">
        <f>IF(OR(ISBLANK(A7),ISBLANK(B7)),"",B7*VLOOKUP((IF(OR(A7="Residential urban land",A7="Commercial/industrial urban land",A7="Open urban land",A7="Greenspace",A7="Community food growing",A7="Woodland",A7="Shrub", A7="Water"), "|||"&amp;A7, (VLOOKUP(Nutrients_from_current_land_use!$B$5,Value_look_up_tables!$A$223:$B$223,2,FALSE)&amp;"|"&amp;A7&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8" spans="1:3" ht="23.25" customHeight="1" x14ac:dyDescent="0.3">
      <c r="A8" s="35"/>
      <c r="B8" s="18"/>
      <c r="C8" s="40" t="str">
        <f>IF(OR(ISBLANK(A8),ISBLANK(B8)),"",B8*VLOOKUP((IF(OR(A8="Residential urban land",A8="Commercial/industrial urban land",A8="Open urban land",A8="Greenspace",A8="Community food growing",A8="Woodland",A8="Shrub", A8="Water"), "|||"&amp;A8, (VLOOKUP(Nutrients_from_current_land_use!$B$5,Value_look_up_tables!$A$223:$B$223,2,FALSE)&amp;"|"&amp;A8&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9" spans="1:3" ht="23.25" customHeight="1" x14ac:dyDescent="0.3">
      <c r="A9" s="35"/>
      <c r="B9" s="18"/>
      <c r="C9" s="40" t="str">
        <f>IF(OR(ISBLANK(A9),ISBLANK(B9)),"",B9*VLOOKUP((IF(OR(A9="Residential urban land",A9="Commercial/industrial urban land",A9="Open urban land",A9="Greenspace",A9="Community food growing",A9="Woodland",A9="Shrub", A9="Water"), "|||"&amp;A9, (VLOOKUP(Nutrients_from_current_land_use!$B$5,Value_look_up_tables!$A$223:$B$223,2,FALSE)&amp;"|"&amp;A9&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0" spans="1:3" ht="23.25" customHeight="1" x14ac:dyDescent="0.3">
      <c r="A10" s="35"/>
      <c r="B10" s="18"/>
      <c r="C10" s="40" t="str">
        <f>IF(OR(ISBLANK(A10),ISBLANK(B10)),"",B10*VLOOKUP((IF(OR(A10="Residential urban land",A10="Commercial/industrial urban land",A10="Open urban land",A10="Greenspace",A10="Community food growing",A10="Woodland",A10="Shrub", A10="Water"), "|||"&amp;A10, (VLOOKUP(Nutrients_from_current_land_use!$B$5,Value_look_up_tables!$A$223:$B$223,2,FALSE)&amp;"|"&amp;A10&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1" spans="1:3" ht="23.25" customHeight="1" x14ac:dyDescent="0.3">
      <c r="A11" s="35"/>
      <c r="B11" s="18"/>
      <c r="C11" s="40" t="str">
        <f>IF(OR(ISBLANK(A11),ISBLANK(B11)),"",B11*VLOOKUP((IF(OR(A11="Residential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2" spans="1:3" ht="23.25" customHeight="1" x14ac:dyDescent="0.3">
      <c r="A12" s="35"/>
      <c r="B12" s="18"/>
      <c r="C12" s="40" t="str">
        <f>IF(OR(ISBLANK(A12),ISBLANK(B12)),"",B12*VLOOKUP((IF(OR(A12="Residential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3" spans="1:3" ht="23.25" customHeight="1" x14ac:dyDescent="0.3">
      <c r="A13" s="35"/>
      <c r="B13" s="18"/>
      <c r="C13" s="40" t="str">
        <f>IF(OR(ISBLANK(A13),ISBLANK(B13)),"",B13*VLOOKUP((IF(OR(A13="Residential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4" spans="1:3" ht="23.25" customHeight="1" x14ac:dyDescent="0.3">
      <c r="A14" s="35"/>
      <c r="B14" s="18"/>
      <c r="C14" s="40" t="str">
        <f>IF(OR(ISBLANK(A14),ISBLANK(B14)),"",B14*VLOOKUP((IF(OR(A14="Residential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5" spans="1:3" ht="23.25" customHeight="1" x14ac:dyDescent="0.3">
      <c r="A15" s="35"/>
      <c r="B15" s="18"/>
      <c r="C15" s="40" t="str">
        <f>IF(OR(ISBLANK(A15),ISBLANK(B15)),"",B15*VLOOKUP((IF(OR(A15="Residential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6" spans="1:3" ht="23.25" customHeight="1" x14ac:dyDescent="0.3">
      <c r="A16" s="35"/>
      <c r="B16" s="18"/>
      <c r="C16" s="40" t="str">
        <f>IF(OR(ISBLANK(A16),ISBLANK(B16)),"",B16*VLOOKUP((IF(OR(A16="Residential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7" spans="1:5" ht="23.25" customHeight="1" x14ac:dyDescent="0.3">
      <c r="A17" s="35"/>
      <c r="B17" s="18"/>
      <c r="C17" s="40" t="str">
        <f>IF(OR(ISBLANK(A17),ISBLANK(B17)),"",B17*VLOOKUP((IF(OR(A17="Residential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8" spans="1:5" ht="23.25" customHeight="1" x14ac:dyDescent="0.3">
      <c r="A18" s="35"/>
      <c r="B18" s="18"/>
      <c r="C18" s="40" t="str">
        <f>IF(OR(ISBLANK(A18),ISBLANK(B18)),"",B18*VLOOKUP((IF(OR(A18="Residential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19" spans="1:5" ht="23.25" customHeight="1" x14ac:dyDescent="0.3">
      <c r="A19" s="35"/>
      <c r="B19" s="18"/>
      <c r="C19" s="40" t="str">
        <f>IF(OR(ISBLANK(A19),ISBLANK(B19)),"",B19*VLOOKUP((IF(OR(A19="Residential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20" spans="1:5" ht="23.25" customHeight="1" x14ac:dyDescent="0.3">
      <c r="A20" s="35"/>
      <c r="B20" s="18"/>
      <c r="C20" s="40" t="str">
        <f>IF(OR(ISBLANK(A20),ISBLANK(B20)),"",B20*VLOOKUP((IF(OR(A20="Residential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c r="E20" s="43"/>
    </row>
    <row r="21" spans="1:5" ht="23.25" customHeight="1" x14ac:dyDescent="0.3">
      <c r="A21" s="35"/>
      <c r="B21" s="18"/>
      <c r="C21" s="40" t="str">
        <f>IF(OR(ISBLANK(A21),ISBLANK(B21)),"",B21*VLOOKUP((IF(OR(A21="Residential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REF!,Value_look_up_tables!$A$236:$B$237,2,FALSE)&amp;"|"&amp;VLOOKUP(Nutrients_from_current_land_use!#REF!,Value_look_up_tables!$A$197:$C$219,3,FALSE)&amp;"|"&amp;VLOOKUP(Nutrients_from_current_land_use!$B$6,Value_look_up_tables!$A$227:$B$232,2,FALSE)))),Value_look_up_tables!$F$52:$H$193,3,FALSE))</f>
        <v/>
      </c>
    </row>
    <row r="22" spans="1:5" ht="23.25" customHeight="1" x14ac:dyDescent="0.3">
      <c r="A22" s="10" t="s">
        <v>94</v>
      </c>
      <c r="B22" s="44">
        <f>SUM(B5:B21)</f>
        <v>0</v>
      </c>
      <c r="C22" s="40">
        <f>SUM(C5:C21)</f>
        <v>0</v>
      </c>
    </row>
  </sheetData>
  <sheetProtection algorithmName="SHA-512" hashValue="NqrUhy+DN+wAw3xgD7o2IEoZk2JkUmKe40wt+EVM/T+Qo+Y2Df1o9tQnOZytio0n/ghfeTn9JIS+osbX4W/tqQ==" saltValue="ZKoIItiWxAtVAPqpauHEL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599FDD8E-370E-4380-8774-40ED62106DA7}">
          <x14:formula1>
            <xm:f>Value_look_up_tables!$A$261:$A$276</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29"/>
  <sheetViews>
    <sheetView zoomScaleNormal="100" workbookViewId="0"/>
  </sheetViews>
  <sheetFormatPr defaultColWidth="9.1796875" defaultRowHeight="14" x14ac:dyDescent="0.35"/>
  <cols>
    <col min="1" max="1" width="151.453125" style="41" customWidth="1"/>
    <col min="2" max="3" width="19.81640625" style="41" customWidth="1"/>
    <col min="4" max="4" width="19.54296875" style="41" customWidth="1"/>
    <col min="5" max="5" width="60.81640625" style="41" customWidth="1"/>
    <col min="6" max="6" width="23" style="41" customWidth="1"/>
    <col min="7" max="7" width="23.7265625" style="41" customWidth="1"/>
    <col min="8" max="8" width="50.7265625" style="41" customWidth="1"/>
    <col min="9" max="471" width="8.54296875" style="41" customWidth="1"/>
    <col min="472" max="16384" width="9.1796875" style="41"/>
  </cols>
  <sheetData>
    <row r="1" spans="1:11" ht="46.5" customHeight="1" x14ac:dyDescent="0.35">
      <c r="A1" s="14" t="s">
        <v>99</v>
      </c>
      <c r="B1" s="37"/>
      <c r="C1" s="37"/>
      <c r="D1" s="37"/>
    </row>
    <row r="2" spans="1:11" ht="409.6" customHeight="1" x14ac:dyDescent="0.35">
      <c r="A2" s="2" t="s">
        <v>100</v>
      </c>
      <c r="B2" s="81"/>
      <c r="C2" s="81"/>
      <c r="D2" s="81"/>
    </row>
    <row r="3" spans="1:11" ht="97.5" customHeight="1" x14ac:dyDescent="0.35">
      <c r="A3" s="75" t="s">
        <v>101</v>
      </c>
      <c r="B3" s="75" t="s">
        <v>102</v>
      </c>
      <c r="C3" s="75" t="s">
        <v>103</v>
      </c>
      <c r="D3" s="75" t="s">
        <v>104</v>
      </c>
      <c r="E3" s="75" t="s">
        <v>105</v>
      </c>
      <c r="F3" s="75" t="s">
        <v>106</v>
      </c>
      <c r="G3" s="75" t="s">
        <v>107</v>
      </c>
      <c r="H3" s="82" t="s">
        <v>93</v>
      </c>
    </row>
    <row r="4" spans="1:11" ht="28.5" customHeight="1" x14ac:dyDescent="0.35">
      <c r="A4" s="84"/>
      <c r="B4" s="19"/>
      <c r="C4" s="76"/>
      <c r="D4" s="42" t="str">
        <f>IFERROR(IF(ISBLANK(A4),"",IF(ISBLANK(B4),"",VLOOKUP(A4,Nutrients_from_future_land_use!$A$5:$C$21,3,FALSE)*(B4/VLOOKUP(A4,Nutrients_from_future_land_use!$A$5:$C$21,2,FALSE)))),"")</f>
        <v/>
      </c>
      <c r="E4" s="76"/>
      <c r="F4" s="76"/>
      <c r="G4" s="42" t="str">
        <f t="shared" ref="G4:G28" si="0">IFERROR(IF(OR(ISBLANK($A4),ISBLANK($B4),ISBLANK($F4)),"",$C4/100*D4*F4/100),"")</f>
        <v/>
      </c>
      <c r="H4" s="41" t="str">
        <f>IF(SUMIFS($B$4:$B$28,$A$4:$A$28,A4)&gt;SUMIFS(Nutrients_from_future_land_use!$B$5:$B$21,Nutrients_from_future_land_use!$A$5:$A$21,A4),"Area of new land covers within SuDS catchment area exceeds the area of new land covers proposed","")</f>
        <v/>
      </c>
    </row>
    <row r="5" spans="1:11" ht="28.5" customHeight="1" x14ac:dyDescent="0.35">
      <c r="A5" s="85"/>
      <c r="B5" s="18"/>
      <c r="C5" s="76"/>
      <c r="D5" s="42" t="str">
        <f>IFERROR(IF(ISBLANK(A5),"",IF(ISBLANK(B5),"",VLOOKUP(A5,Nutrients_from_future_land_use!$A$5:$C$21,3,FALSE)*(B5/VLOOKUP(A5,Nutrients_from_future_land_use!$A$5:$C$21,2,FALSE)))),"")</f>
        <v/>
      </c>
      <c r="E5" s="76"/>
      <c r="F5" s="76"/>
      <c r="G5" s="42" t="str">
        <f t="shared" si="0"/>
        <v/>
      </c>
      <c r="H5" s="41" t="str">
        <f>IF(SUMIFS($B$4:$B$28,$A$4:$A$28,A5)&gt;SUMIFS(Nutrients_from_future_land_use!$B$5:$B$21,Nutrients_from_future_land_use!$A$5:$A$21,A5),"Area of new land covers within SuDS catchment area exceeds the area of new land covers proposed","")</f>
        <v/>
      </c>
    </row>
    <row r="6" spans="1:11" ht="28.5" customHeight="1" x14ac:dyDescent="0.35">
      <c r="A6" s="85"/>
      <c r="B6" s="18"/>
      <c r="C6" s="76"/>
      <c r="D6" s="42" t="str">
        <f>IFERROR(IF(ISBLANK(A6),"",IF(ISBLANK(B6),"",VLOOKUP(A6,Nutrients_from_future_land_use!$A$5:$C$21,3,FALSE)*(B6/VLOOKUP(A6,Nutrients_from_future_land_use!$A$5:$C$21,2,FALSE)))),"")</f>
        <v/>
      </c>
      <c r="E6" s="76"/>
      <c r="F6" s="76"/>
      <c r="G6" s="42" t="str">
        <f t="shared" si="0"/>
        <v/>
      </c>
      <c r="H6" s="41" t="str">
        <f>IF(SUMIFS($B$4:$B$28,$A$4:$A$28,A6)&gt;SUMIFS(Nutrients_from_future_land_use!$B$5:$B$21,Nutrients_from_future_land_use!$A$5:$A$21,A6),"Area of new land covers within SuDS catchment area exceeds the area of new land covers proposed","")</f>
        <v/>
      </c>
    </row>
    <row r="7" spans="1:11" ht="28.5" customHeight="1" x14ac:dyDescent="0.35">
      <c r="A7" s="85"/>
      <c r="B7" s="18"/>
      <c r="C7" s="76"/>
      <c r="D7" s="42" t="str">
        <f>IFERROR(IF(ISBLANK(A7),"",IF(ISBLANK(B7),"",VLOOKUP(A7,Nutrients_from_future_land_use!$A$5:$C$21,3,FALSE)*(B7/VLOOKUP(A7,Nutrients_from_future_land_use!$A$5:$C$21,2,FALSE)))),"")</f>
        <v/>
      </c>
      <c r="E7" s="76"/>
      <c r="F7" s="76"/>
      <c r="G7" s="42" t="str">
        <f t="shared" si="0"/>
        <v/>
      </c>
      <c r="H7" s="41" t="str">
        <f>IF(SUMIFS($B$4:$B$28,$A$4:$A$28,A7)&gt;SUMIFS(Nutrients_from_future_land_use!$B$5:$B$21,Nutrients_from_future_land_use!$A$5:$A$21,A7),"Area of new land covers within SuDS catchment area exceeds the area of new land covers proposed","")</f>
        <v/>
      </c>
    </row>
    <row r="8" spans="1:11" ht="28.5" customHeight="1" x14ac:dyDescent="0.35">
      <c r="A8" s="85"/>
      <c r="B8" s="18"/>
      <c r="C8" s="76"/>
      <c r="D8" s="42" t="str">
        <f>IFERROR(IF(ISBLANK(A8),"",IF(ISBLANK(B8),"",VLOOKUP(A8,Nutrients_from_future_land_use!$A$5:$C$21,3,FALSE)*(B8/VLOOKUP(A8,Nutrients_from_future_land_use!$A$5:$C$21,2,FALSE)))),"")</f>
        <v/>
      </c>
      <c r="E8" s="76"/>
      <c r="F8" s="76"/>
      <c r="G8" s="42" t="str">
        <f t="shared" si="0"/>
        <v/>
      </c>
      <c r="H8" s="41" t="str">
        <f>IF(SUMIFS($B$4:$B$28,$A$4:$A$28,A8)&gt;SUMIFS(Nutrients_from_future_land_use!$B$5:$B$21,Nutrients_from_future_land_use!$A$5:$A$21,A8),"Area of new land covers within SuDS catchment area exceeds the area of new land covers proposed","")</f>
        <v/>
      </c>
      <c r="K8" s="80"/>
    </row>
    <row r="9" spans="1:11" ht="28.5" customHeight="1" x14ac:dyDescent="0.35">
      <c r="A9" s="85"/>
      <c r="B9" s="18"/>
      <c r="C9" s="76"/>
      <c r="D9" s="42" t="str">
        <f>IFERROR(IF(ISBLANK(A9),"",IF(ISBLANK(B9),"",VLOOKUP(A9,Nutrients_from_future_land_use!$A$5:$C$21,3,FALSE)*(B9/VLOOKUP(A9,Nutrients_from_future_land_use!$A$5:$C$21,2,FALSE)))),"")</f>
        <v/>
      </c>
      <c r="E9" s="76"/>
      <c r="F9" s="76"/>
      <c r="G9" s="42" t="str">
        <f t="shared" si="0"/>
        <v/>
      </c>
      <c r="H9" s="41" t="str">
        <f>IF(SUMIFS($B$4:$B$28,$A$4:$A$28,A9)&gt;SUMIFS(Nutrients_from_future_land_use!$B$5:$B$21,Nutrients_from_future_land_use!$A$5:$A$21,A9),"Area of new land covers within SuDS catchment area exceeds the area of new land covers proposed","")</f>
        <v/>
      </c>
      <c r="K9" s="80"/>
    </row>
    <row r="10" spans="1:11" ht="28.5" customHeight="1" x14ac:dyDescent="0.35">
      <c r="A10" s="85"/>
      <c r="B10" s="18"/>
      <c r="C10" s="76"/>
      <c r="D10" s="42" t="str">
        <f>IFERROR(IF(ISBLANK(A10),"",IF(ISBLANK(B10),"",VLOOKUP(A10,Nutrients_from_future_land_use!$A$5:$C$21,3,FALSE)*(B10/VLOOKUP(A10,Nutrients_from_future_land_use!$A$5:$C$21,2,FALSE)))),"")</f>
        <v/>
      </c>
      <c r="E10" s="76"/>
      <c r="F10" s="76"/>
      <c r="G10" s="42" t="str">
        <f t="shared" si="0"/>
        <v/>
      </c>
      <c r="H10" s="41" t="str">
        <f>IF(SUMIFS($B$4:$B$28,$A$4:$A$28,A10)&gt;SUMIFS(Nutrients_from_future_land_use!$B$5:$B$21,Nutrients_from_future_land_use!$A$5:$A$21,A10),"Area of new land covers within SuDS catchment area exceeds the area of new land covers proposed","")</f>
        <v/>
      </c>
      <c r="K10" s="80"/>
    </row>
    <row r="11" spans="1:11" ht="28.5" customHeight="1" x14ac:dyDescent="0.35">
      <c r="A11" s="85"/>
      <c r="B11" s="18"/>
      <c r="C11" s="76"/>
      <c r="D11" s="42" t="str">
        <f>IFERROR(IF(ISBLANK(A11),"",IF(ISBLANK(B11),"",VLOOKUP(A11,Nutrients_from_future_land_use!$A$5:$C$21,3,FALSE)*(B11/VLOOKUP(A11,Nutrients_from_future_land_use!$A$5:$C$21,2,FALSE)))),"")</f>
        <v/>
      </c>
      <c r="E11" s="76"/>
      <c r="F11" s="76"/>
      <c r="G11" s="42" t="str">
        <f t="shared" si="0"/>
        <v/>
      </c>
      <c r="H11" s="41" t="str">
        <f>IF(SUMIFS($B$4:$B$28,$A$4:$A$28,A11)&gt;SUMIFS(Nutrients_from_future_land_use!$B$5:$B$21,Nutrients_from_future_land_use!$A$5:$A$21,A11),"Area of new land covers within SuDS catchment area exceeds the area of new land covers proposed","")</f>
        <v/>
      </c>
      <c r="K11" s="80"/>
    </row>
    <row r="12" spans="1:11" ht="28.5" customHeight="1" x14ac:dyDescent="0.35">
      <c r="A12" s="85"/>
      <c r="B12" s="18"/>
      <c r="C12" s="76"/>
      <c r="D12" s="42" t="str">
        <f>IFERROR(IF(ISBLANK(A12),"",IF(ISBLANK(B12),"",VLOOKUP(A12,Nutrients_from_future_land_use!$A$5:$C$21,3,FALSE)*(B12/VLOOKUP(A12,Nutrients_from_future_land_use!$A$5:$C$21,2,FALSE)))),"")</f>
        <v/>
      </c>
      <c r="E12" s="76"/>
      <c r="F12" s="76"/>
      <c r="G12" s="42" t="str">
        <f t="shared" si="0"/>
        <v/>
      </c>
      <c r="H12" s="41" t="str">
        <f>IF(SUMIFS($B$4:$B$28,$A$4:$A$28,A12)&gt;SUMIFS(Nutrients_from_future_land_use!$B$5:$B$21,Nutrients_from_future_land_use!$A$5:$A$21,A12),"Area of new land covers within SuDS catchment area exceeds the area of new land covers proposed","")</f>
        <v/>
      </c>
      <c r="K12" s="80"/>
    </row>
    <row r="13" spans="1:11" ht="28.5" customHeight="1" x14ac:dyDescent="0.35">
      <c r="A13" s="85"/>
      <c r="B13" s="18"/>
      <c r="C13" s="76"/>
      <c r="D13" s="42" t="str">
        <f>IFERROR(IF(ISBLANK(A13),"",IF(ISBLANK(B13),"",VLOOKUP(A13,Nutrients_from_future_land_use!$A$5:$C$21,3,FALSE)*(B13/VLOOKUP(A13,Nutrients_from_future_land_use!$A$5:$C$21,2,FALSE)))),"")</f>
        <v/>
      </c>
      <c r="E13" s="76"/>
      <c r="F13" s="76"/>
      <c r="G13" s="42" t="str">
        <f t="shared" si="0"/>
        <v/>
      </c>
      <c r="H13" s="41" t="str">
        <f>IF(SUMIFS($B$4:$B$28,$A$4:$A$28,A13)&gt;SUMIFS(Nutrients_from_future_land_use!$B$5:$B$21,Nutrients_from_future_land_use!$A$5:$A$21,A13),"Area of new land covers within SuDS catchment area exceeds the area of new land covers proposed","")</f>
        <v/>
      </c>
      <c r="K13" s="80"/>
    </row>
    <row r="14" spans="1:11" ht="28.5" customHeight="1" x14ac:dyDescent="0.35">
      <c r="A14" s="85"/>
      <c r="B14" s="18"/>
      <c r="C14" s="76"/>
      <c r="D14" s="42" t="str">
        <f>IFERROR(IF(ISBLANK(A14),"",IF(ISBLANK(B14),"",VLOOKUP(A14,Nutrients_from_future_land_use!$A$5:$C$21,3,FALSE)*(B14/VLOOKUP(A14,Nutrients_from_future_land_use!$A$5:$C$21,2,FALSE)))),"")</f>
        <v/>
      </c>
      <c r="E14" s="76"/>
      <c r="F14" s="76"/>
      <c r="G14" s="42" t="str">
        <f t="shared" si="0"/>
        <v/>
      </c>
      <c r="H14" s="41" t="str">
        <f>IF(SUMIFS($B$4:$B$28,$A$4:$A$28,A14)&gt;SUMIFS(Nutrients_from_future_land_use!$B$5:$B$21,Nutrients_from_future_land_use!$A$5:$A$21,A14),"Area of new land covers within SuDS catchment area exceeds the area of new land covers proposed","")</f>
        <v/>
      </c>
    </row>
    <row r="15" spans="1:11" ht="28.5" customHeight="1" x14ac:dyDescent="0.35">
      <c r="A15" s="85"/>
      <c r="B15" s="18"/>
      <c r="C15" s="76"/>
      <c r="D15" s="42" t="str">
        <f>IFERROR(IF(ISBLANK(A15),"",IF(ISBLANK(B15),"",VLOOKUP(A15,Nutrients_from_future_land_use!$A$5:$C$21,3,FALSE)*(B15/VLOOKUP(A15,Nutrients_from_future_land_use!$A$5:$C$21,2,FALSE)))),"")</f>
        <v/>
      </c>
      <c r="E15" s="76"/>
      <c r="F15" s="76"/>
      <c r="G15" s="42" t="str">
        <f t="shared" si="0"/>
        <v/>
      </c>
      <c r="H15" s="41" t="str">
        <f>IF(SUMIFS($B$4:$B$28,$A$4:$A$28,A15)&gt;SUMIFS(Nutrients_from_future_land_use!$B$5:$B$21,Nutrients_from_future_land_use!$A$5:$A$21,A15),"Area of new land covers within SuDS catchment area exceeds the area of new land covers proposed","")</f>
        <v/>
      </c>
    </row>
    <row r="16" spans="1:11" ht="28.5" customHeight="1" x14ac:dyDescent="0.35">
      <c r="A16" s="85"/>
      <c r="B16" s="18"/>
      <c r="C16" s="76"/>
      <c r="D16" s="42" t="str">
        <f>IFERROR(IF(ISBLANK(A16),"",IF(ISBLANK(B16),"",VLOOKUP(A16,Nutrients_from_future_land_use!$A$5:$C$21,3,FALSE)*(B16/VLOOKUP(A16,Nutrients_from_future_land_use!$A$5:$C$21,2,FALSE)))),"")</f>
        <v/>
      </c>
      <c r="E16" s="76"/>
      <c r="F16" s="76"/>
      <c r="G16" s="42" t="str">
        <f t="shared" si="0"/>
        <v/>
      </c>
      <c r="H16" s="41" t="str">
        <f>IF(SUMIFS($B$4:$B$28,$A$4:$A$28,A16)&gt;SUMIFS(Nutrients_from_future_land_use!$B$5:$B$21,Nutrients_from_future_land_use!$A$5:$A$21,A16),"Area of new land covers within SuDS catchment area exceeds the area of new land covers proposed","")</f>
        <v/>
      </c>
    </row>
    <row r="17" spans="1:8" ht="28.5" customHeight="1" x14ac:dyDescent="0.35">
      <c r="A17" s="85"/>
      <c r="B17" s="18"/>
      <c r="C17" s="76"/>
      <c r="D17" s="42" t="str">
        <f>IFERROR(IF(ISBLANK(A17),"",IF(ISBLANK(B17),"",VLOOKUP(A17,Nutrients_from_future_land_use!$A$5:$C$21,3,FALSE)*(B17/VLOOKUP(A17,Nutrients_from_future_land_use!$A$5:$C$21,2,FALSE)))),"")</f>
        <v/>
      </c>
      <c r="E17" s="76"/>
      <c r="F17" s="76"/>
      <c r="G17" s="42" t="str">
        <f t="shared" si="0"/>
        <v/>
      </c>
      <c r="H17" s="41" t="str">
        <f>IF(SUMIFS($B$4:$B$28,$A$4:$A$28,A17)&gt;SUMIFS(Nutrients_from_future_land_use!$B$5:$B$21,Nutrients_from_future_land_use!$A$5:$A$21,A17),"Area of new land covers within SuDS catchment area exceeds the area of new land covers proposed","")</f>
        <v/>
      </c>
    </row>
    <row r="18" spans="1:8" ht="28.5" customHeight="1" x14ac:dyDescent="0.35">
      <c r="A18" s="85"/>
      <c r="B18" s="18"/>
      <c r="C18" s="76"/>
      <c r="D18" s="42" t="str">
        <f>IFERROR(IF(ISBLANK(A18),"",IF(ISBLANK(B18),"",VLOOKUP(A18,Nutrients_from_future_land_use!$A$5:$C$21,3,FALSE)*(B18/VLOOKUP(A18,Nutrients_from_future_land_use!$A$5:$C$21,2,FALSE)))),"")</f>
        <v/>
      </c>
      <c r="E18" s="76"/>
      <c r="F18" s="76"/>
      <c r="G18" s="42" t="str">
        <f t="shared" si="0"/>
        <v/>
      </c>
      <c r="H18" s="41" t="str">
        <f>IF(SUMIFS($B$4:$B$28,$A$4:$A$28,A18)&gt;SUMIFS(Nutrients_from_future_land_use!$B$5:$B$21,Nutrients_from_future_land_use!$A$5:$A$21,A18),"Area of new land covers within SuDS catchment area exceeds the area of new land covers proposed","")</f>
        <v/>
      </c>
    </row>
    <row r="19" spans="1:8" ht="28.5" customHeight="1" x14ac:dyDescent="0.35">
      <c r="A19" s="85"/>
      <c r="B19" s="18"/>
      <c r="C19" s="76"/>
      <c r="D19" s="42" t="str">
        <f>IFERROR(IF(ISBLANK(A19),"",IF(ISBLANK(B19),"",VLOOKUP(A19,Nutrients_from_future_land_use!$A$5:$C$21,3,FALSE)*(B19/VLOOKUP(A19,Nutrients_from_future_land_use!$A$5:$C$21,2,FALSE)))),"")</f>
        <v/>
      </c>
      <c r="E19" s="76"/>
      <c r="F19" s="76"/>
      <c r="G19" s="42" t="str">
        <f t="shared" si="0"/>
        <v/>
      </c>
      <c r="H19" s="41" t="str">
        <f>IF(SUMIFS($B$4:$B$28,$A$4:$A$28,A19)&gt;SUMIFS(Nutrients_from_future_land_use!$B$5:$B$21,Nutrients_from_future_land_use!$A$5:$A$21,A19),"Area of new land covers within SuDS catchment area exceeds the area of new land covers proposed","")</f>
        <v/>
      </c>
    </row>
    <row r="20" spans="1:8" ht="28.5" customHeight="1" x14ac:dyDescent="0.35">
      <c r="A20" s="85"/>
      <c r="B20" s="18"/>
      <c r="C20" s="76"/>
      <c r="D20" s="42" t="str">
        <f>IFERROR(IF(ISBLANK(A20),"",IF(ISBLANK(B20),"",VLOOKUP(A20,Nutrients_from_future_land_use!$A$5:$C$21,3,FALSE)*(B20/VLOOKUP(A20,Nutrients_from_future_land_use!$A$5:$C$21,2,FALSE)))),"")</f>
        <v/>
      </c>
      <c r="E20" s="76"/>
      <c r="F20" s="76"/>
      <c r="G20" s="42" t="str">
        <f t="shared" si="0"/>
        <v/>
      </c>
      <c r="H20" s="41" t="str">
        <f>IF(SUMIFS($B$4:$B$28,$A$4:$A$28,A20)&gt;SUMIFS(Nutrients_from_future_land_use!$B$5:$B$21,Nutrients_from_future_land_use!$A$5:$A$21,A20),"Area of new land covers within SuDS catchment area exceeds the area of new land covers proposed","")</f>
        <v/>
      </c>
    </row>
    <row r="21" spans="1:8" ht="28.5" customHeight="1" x14ac:dyDescent="0.35">
      <c r="A21" s="85"/>
      <c r="B21" s="18"/>
      <c r="C21" s="76"/>
      <c r="D21" s="42" t="str">
        <f>IFERROR(IF(ISBLANK(A21),"",IF(ISBLANK(B21),"",VLOOKUP(A21,Nutrients_from_future_land_use!$A$5:$C$21,3,FALSE)*(B21/VLOOKUP(A21,Nutrients_from_future_land_use!$A$5:$C$21,2,FALSE)))),"")</f>
        <v/>
      </c>
      <c r="E21" s="76"/>
      <c r="F21" s="76"/>
      <c r="G21" s="42" t="str">
        <f t="shared" si="0"/>
        <v/>
      </c>
      <c r="H21" s="41" t="str">
        <f>IF(SUMIFS($B$4:$B$28,$A$4:$A$28,A21)&gt;SUMIFS(Nutrients_from_future_land_use!$B$5:$B$21,Nutrients_from_future_land_use!$A$5:$A$21,A21),"Area of new land covers within SuDS catchment area exceeds the area of new land covers proposed","")</f>
        <v/>
      </c>
    </row>
    <row r="22" spans="1:8" ht="28.5" customHeight="1" x14ac:dyDescent="0.35">
      <c r="A22" s="85"/>
      <c r="B22" s="18"/>
      <c r="C22" s="76"/>
      <c r="D22" s="42" t="str">
        <f>IFERROR(IF(ISBLANK(A22),"",IF(ISBLANK(B22),"",VLOOKUP(A22,Nutrients_from_future_land_use!$A$5:$C$21,3,FALSE)*(B22/VLOOKUP(A22,Nutrients_from_future_land_use!$A$5:$C$21,2,FALSE)))),"")</f>
        <v/>
      </c>
      <c r="E22" s="76"/>
      <c r="F22" s="76"/>
      <c r="G22" s="42" t="str">
        <f t="shared" si="0"/>
        <v/>
      </c>
      <c r="H22" s="41" t="str">
        <f>IF(SUMIFS($B$4:$B$28,$A$4:$A$28,A22)&gt;SUMIFS(Nutrients_from_future_land_use!$B$5:$B$21,Nutrients_from_future_land_use!$A$5:$A$21,A22),"Area of new land covers within SuDS catchment area exceeds the area of new land covers proposed","")</f>
        <v/>
      </c>
    </row>
    <row r="23" spans="1:8" ht="28.5" customHeight="1" x14ac:dyDescent="0.35">
      <c r="A23" s="85"/>
      <c r="B23" s="18"/>
      <c r="C23" s="76"/>
      <c r="D23" s="42" t="str">
        <f>IFERROR(IF(ISBLANK(A23),"",IF(ISBLANK(B23),"",VLOOKUP(A23,Nutrients_from_future_land_use!$A$5:$C$21,3,FALSE)*(B23/VLOOKUP(A23,Nutrients_from_future_land_use!$A$5:$C$21,2,FALSE)))),"")</f>
        <v/>
      </c>
      <c r="E23" s="76"/>
      <c r="F23" s="76"/>
      <c r="G23" s="42" t="str">
        <f t="shared" si="0"/>
        <v/>
      </c>
      <c r="H23" s="41" t="str">
        <f>IF(SUMIFS($B$4:$B$28,$A$4:$A$28,A23)&gt;SUMIFS(Nutrients_from_future_land_use!$B$5:$B$21,Nutrients_from_future_land_use!$A$5:$A$21,A23),"Area of new land covers within SuDS catchment area exceeds the area of new land covers proposed","")</f>
        <v/>
      </c>
    </row>
    <row r="24" spans="1:8" ht="28.5" customHeight="1" x14ac:dyDescent="0.35">
      <c r="A24" s="85"/>
      <c r="B24" s="18"/>
      <c r="C24" s="76"/>
      <c r="D24" s="42" t="str">
        <f>IFERROR(IF(ISBLANK(A24),"",IF(ISBLANK(B24),"",VLOOKUP(A24,Nutrients_from_future_land_use!$A$5:$C$21,3,FALSE)*(B24/VLOOKUP(A24,Nutrients_from_future_land_use!$A$5:$C$21,2,FALSE)))),"")</f>
        <v/>
      </c>
      <c r="E24" s="76"/>
      <c r="F24" s="76"/>
      <c r="G24" s="42" t="str">
        <f t="shared" si="0"/>
        <v/>
      </c>
      <c r="H24" s="41" t="str">
        <f>IF(SUMIFS($B$4:$B$28,$A$4:$A$28,A24)&gt;SUMIFS(Nutrients_from_future_land_use!$B$5:$B$21,Nutrients_from_future_land_use!$A$5:$A$21,A24),"Area of new land covers within SuDS catchment area exceeds the area of new land covers proposed","")</f>
        <v/>
      </c>
    </row>
    <row r="25" spans="1:8" ht="28.5" customHeight="1" x14ac:dyDescent="0.35">
      <c r="A25" s="85"/>
      <c r="B25" s="18"/>
      <c r="C25" s="76"/>
      <c r="D25" s="42" t="str">
        <f>IFERROR(IF(ISBLANK(A25),"",IF(ISBLANK(B25),"",VLOOKUP(A25,Nutrients_from_future_land_use!$A$5:$C$21,3,FALSE)*(B25/VLOOKUP(A25,Nutrients_from_future_land_use!$A$5:$C$21,2,FALSE)))),"")</f>
        <v/>
      </c>
      <c r="E25" s="76"/>
      <c r="F25" s="76"/>
      <c r="G25" s="42" t="str">
        <f t="shared" si="0"/>
        <v/>
      </c>
      <c r="H25" s="41" t="str">
        <f>IF(SUMIFS($B$4:$B$28,$A$4:$A$28,A25)&gt;SUMIFS(Nutrients_from_future_land_use!$B$5:$B$21,Nutrients_from_future_land_use!$A$5:$A$21,A25),"Area of new land covers within SuDS catchment area exceeds the area of new land covers proposed","")</f>
        <v/>
      </c>
    </row>
    <row r="26" spans="1:8" ht="28.5" customHeight="1" x14ac:dyDescent="0.35">
      <c r="A26" s="85"/>
      <c r="B26" s="18"/>
      <c r="C26" s="76"/>
      <c r="D26" s="42" t="str">
        <f>IFERROR(IF(ISBLANK(A26),"",IF(ISBLANK(B26),"",VLOOKUP(A26,Nutrients_from_future_land_use!$A$5:$C$21,3,FALSE)*(B26/VLOOKUP(A26,Nutrients_from_future_land_use!$A$5:$C$21,2,FALSE)))),"")</f>
        <v/>
      </c>
      <c r="E26" s="76"/>
      <c r="F26" s="76"/>
      <c r="G26" s="42" t="str">
        <f t="shared" si="0"/>
        <v/>
      </c>
      <c r="H26" s="41" t="str">
        <f>IF(SUMIFS($B$4:$B$28,$A$4:$A$28,A26)&gt;SUMIFS(Nutrients_from_future_land_use!$B$5:$B$21,Nutrients_from_future_land_use!$A$5:$A$21,A26),"Area of new land covers within SuDS catchment area exceeds the area of new land covers proposed","")</f>
        <v/>
      </c>
    </row>
    <row r="27" spans="1:8" ht="28.5" customHeight="1" x14ac:dyDescent="0.35">
      <c r="A27" s="85"/>
      <c r="B27" s="18"/>
      <c r="C27" s="76"/>
      <c r="D27" s="42" t="str">
        <f>IFERROR(IF(ISBLANK(A27),"",IF(ISBLANK(B27),"",VLOOKUP(A27,Nutrients_from_future_land_use!$A$5:$C$21,3,FALSE)*(B27/VLOOKUP(A27,Nutrients_from_future_land_use!$A$5:$C$21,2,FALSE)))),"")</f>
        <v/>
      </c>
      <c r="E27" s="76"/>
      <c r="F27" s="76"/>
      <c r="G27" s="42" t="str">
        <f t="shared" si="0"/>
        <v/>
      </c>
      <c r="H27" s="41" t="str">
        <f>IF(SUMIFS($B$4:$B$28,$A$4:$A$28,A27)&gt;SUMIFS(Nutrients_from_future_land_use!$B$5:$B$21,Nutrients_from_future_land_use!$A$5:$A$21,A27),"Area of new land covers within SuDS catchment area exceeds the area of new land covers proposed","")</f>
        <v/>
      </c>
    </row>
    <row r="28" spans="1:8" ht="28.5" customHeight="1" x14ac:dyDescent="0.35">
      <c r="A28" s="85"/>
      <c r="B28" s="18"/>
      <c r="C28" s="76"/>
      <c r="D28" s="42" t="str">
        <f>IFERROR(IF(ISBLANK(A28),"",IF(ISBLANK(B28),"",VLOOKUP(A28,Nutrients_from_future_land_use!$A$5:$C$21,3,FALSE)*(B28/VLOOKUP(A28,Nutrients_from_future_land_use!$A$5:$C$21,2,FALSE)))),"")</f>
        <v/>
      </c>
      <c r="E28" s="76"/>
      <c r="F28" s="76"/>
      <c r="G28" s="42" t="str">
        <f t="shared" si="0"/>
        <v/>
      </c>
      <c r="H28" s="41" t="str">
        <f>IF(SUMIFS($B$4:$B$28,$A$4:$A$28,A28)&gt;SUMIFS(Nutrients_from_future_land_use!$B$5:$B$21,Nutrients_from_future_land_use!$A$5:$A$21,A28),"Area of new land covers within SuDS catchment area exceeds the area of new land covers proposed","")</f>
        <v/>
      </c>
    </row>
    <row r="29" spans="1:8" ht="22.5" customHeight="1" x14ac:dyDescent="0.35">
      <c r="A29" s="10" t="s">
        <v>94</v>
      </c>
      <c r="B29" s="77">
        <f>SUM(B4:B28)</f>
        <v>0</v>
      </c>
      <c r="C29" s="77"/>
      <c r="D29" s="77">
        <f t="shared" ref="D29" si="1">SUM(D4:D28)</f>
        <v>0</v>
      </c>
      <c r="E29" s="78"/>
      <c r="F29" s="78"/>
      <c r="G29" s="40">
        <f>SUM(G4:G28)</f>
        <v>0</v>
      </c>
      <c r="H29" s="83"/>
    </row>
  </sheetData>
  <sheetProtection algorithmName="SHA-512" hashValue="pjKiW3fLydi1mTpUIUp+pRb1yTXm4rEDVzCS/r03kRJ6i1Aq9Yf+01lNA61lFROmGwdB63qVhem0OLoMGIAl+w==" saltValue="rO2rOCXBUEFOkOZi9UbmiA==" spinCount="100000" sheet="1" objects="1" scenarios="1"/>
  <protectedRanges>
    <protectedRange algorithmName="SHA-512" hashValue="MvmTLotpKiuRnedI3A4NjKJPVt4Aw8hcOvmE+D0rBMjM9TiU4ekXkprnHN0k9oVg0inb+CLcUsLFrJxBFcC6uw==" saltValue="93Zg0snhziumGVhjlXa2zg==" spinCount="100000" sqref="A4:A28 B29:D29" name="Range1"/>
    <protectedRange algorithmName="SHA-512" hashValue="MvmTLotpKiuRnedI3A4NjKJPVt4Aw8hcOvmE+D0rBMjM9TiU4ekXkprnHN0k9oVg0inb+CLcUsLFrJxBFcC6uw==" saltValue="93Zg0snhziumGVhjlXa2zg==" spinCount="100000" sqref="B4:C28" name="Range1_1"/>
  </protectedRanges>
  <phoneticPr fontId="8" type="noConversion"/>
  <dataValidations count="4">
    <dataValidation type="decimal" operator="greaterThanOrEqual" allowBlank="1" showErrorMessage="1" prompt="Please enter area in hectares." sqref="B4:B28" xr:uid="{217E3FA1-1BB8-45C3-9D2C-1D4956B28508}">
      <formula1>0</formula1>
    </dataValidation>
    <dataValidation type="decimal" allowBlank="1" showErrorMessage="1" prompt="Please enter area in hectares." sqref="C4:C28" xr:uid="{FBC78870-43D9-4EA6-A174-BF01D3A5A955}">
      <formula1>0</formula1>
      <formula2>100</formula2>
    </dataValidation>
    <dataValidation allowBlank="1" showErrorMessage="1" prompt="Please enter area in hectares." sqref="B29:D29" xr:uid="{4F17A0C8-BADF-4DA8-A067-4ABBCFF91399}"/>
    <dataValidation type="decimal" allowBlank="1" showErrorMessage="1" sqref="F4:F28"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_xlfn.ANCHORARRAY(Value_look_up_tables!$A$280)</xm:f>
          </x14:formula1>
          <xm:sqref>A4:A28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80.54296875" style="41" customWidth="1"/>
    <col min="2" max="4" width="40.54296875" style="41" customWidth="1"/>
    <col min="5" max="466" width="8.54296875" style="41" customWidth="1"/>
    <col min="467" max="16384" width="9.1796875" style="41"/>
  </cols>
  <sheetData>
    <row r="1" spans="1:4" ht="30" x14ac:dyDescent="0.35">
      <c r="A1" s="57" t="s">
        <v>108</v>
      </c>
      <c r="B1" s="58"/>
      <c r="C1" s="66"/>
    </row>
    <row r="2" spans="1:4" ht="105.75" customHeight="1" x14ac:dyDescent="0.35">
      <c r="A2" s="3" t="s">
        <v>109</v>
      </c>
      <c r="B2" s="59"/>
      <c r="C2" s="3"/>
      <c r="D2" s="3"/>
    </row>
    <row r="3" spans="1:4" ht="59.15" customHeight="1" x14ac:dyDescent="0.35">
      <c r="A3" s="23" t="s">
        <v>110</v>
      </c>
      <c r="B3" s="44"/>
      <c r="C3" s="3"/>
      <c r="D3" s="3"/>
    </row>
    <row r="4" spans="1:4" ht="22.5" customHeight="1" x14ac:dyDescent="0.35">
      <c r="A4" s="64" t="s">
        <v>77</v>
      </c>
      <c r="B4" s="67" t="s">
        <v>78</v>
      </c>
    </row>
    <row r="5" spans="1:4" ht="22.5" customHeight="1" x14ac:dyDescent="0.35">
      <c r="A5" s="36" t="s">
        <v>111</v>
      </c>
      <c r="B5" s="68" t="str">
        <f>Nutrients_from_wastewater!B18</f>
        <v/>
      </c>
    </row>
    <row r="6" spans="1:4" ht="22.5" customHeight="1" x14ac:dyDescent="0.35">
      <c r="A6" s="9" t="s">
        <v>112</v>
      </c>
      <c r="B6" s="61">
        <f>IFERROR(Nutrients_from_future_land_use!C22-SuDS!G29-Nutrients_from_current_land_use!C28,"")</f>
        <v>0</v>
      </c>
    </row>
    <row r="7" spans="1:4" ht="22.5" customHeight="1" x14ac:dyDescent="0.35">
      <c r="A7" s="9" t="s">
        <v>113</v>
      </c>
      <c r="B7" s="61" t="str">
        <f>IFERROR(B5+B6,"")</f>
        <v/>
      </c>
    </row>
    <row r="8" spans="1:4" ht="22.5" customHeight="1" x14ac:dyDescent="0.35">
      <c r="A8" s="9" t="s">
        <v>114</v>
      </c>
      <c r="B8" s="61" t="str">
        <f>IFERROR(IF(B7&lt;0,B7,B7*1.2),"")</f>
        <v/>
      </c>
    </row>
    <row r="9" spans="1:4" ht="22.5" customHeight="1" x14ac:dyDescent="0.35">
      <c r="A9" s="60" t="str">
        <f>IFERROR(IF(AND(Nutrients_from_wastewater!$B$5&lt;DATE(2025,1,1),OR((VLOOKUP(Nutrients_from_wastewater!$B$9,Value_look_up_tables!$A$5:$E$46,2,FALSE))&gt;(VLOOKUP(Nutrients_from_wastewater!$B$9,Value_look_up_tables!$A$5:$E$46,3,FALSE)),(VLOOKUP(Nutrients_from_wastewater!$B$9,Value_look_up_tables!$A$5:$E$46,2,FALSE))&gt;(VLOOKUP(Nutrients_from_wastewater!$B$9,Value_look_up_tables!$A$5:$E$46,3,FALSE)))),"Post-2030 Annual Nutrient Budget","Annual Nutrient Budget"),"")</f>
        <v/>
      </c>
      <c r="B9" s="88"/>
    </row>
    <row r="10" spans="1:4" ht="22.5" customHeight="1" x14ac:dyDescent="0.35">
      <c r="A10" s="36" t="s">
        <v>115</v>
      </c>
      <c r="B10" s="61" t="str">
        <f>IFERROR(IF(ROUND(B8,2)&lt;0,0,ROUND(B8,2)),"")</f>
        <v/>
      </c>
    </row>
    <row r="11" spans="1:4" ht="22.5" customHeight="1" x14ac:dyDescent="0.35">
      <c r="A11" s="60" t="str">
        <f>IF(Nutrients_from_wastewater!A19="","",IF(LEFT(Nutrients_from_wastewater!A19,9)="Pre-2030 ",LEFT(Nutrients_from_wastewater!A19,9),LEFT(Nutrients_from_wastewater!A19,10))&amp;"Nutrient Budget")</f>
        <v/>
      </c>
      <c r="B11" s="88"/>
    </row>
    <row r="12" spans="1:4" ht="22.5" customHeight="1" x14ac:dyDescent="0.35">
      <c r="A12" s="36" t="str">
        <f>IF(A11&lt;&gt;"","The total annual phosphorus load to mitigate is (kg TP/yr):","")</f>
        <v/>
      </c>
      <c r="B12" s="100" t="str">
        <f>IF(IFERROR(ROUND((Nutrients_from_wastewater!B20+$B$6)*1.2,2),"")&lt;0,0,IFERROR(ROUND((Nutrients_from_wastewater!B20+$B$6)*1.2,2),""))</f>
        <v/>
      </c>
    </row>
    <row r="13" spans="1:4" ht="22.5" customHeight="1" x14ac:dyDescent="0.35">
      <c r="A13" s="60" t="str">
        <f>IF(Nutrients_from_wastewater!A21="","",LEFT(Nutrients_from_wastewater!A21,9)&amp;"Nutrient Budget")</f>
        <v/>
      </c>
      <c r="B13" s="88"/>
    </row>
    <row r="14" spans="1:4" ht="22.5" customHeight="1" x14ac:dyDescent="0.35">
      <c r="A14" s="62" t="str">
        <f>IF(A13&lt;&gt;"","The total annual phosphorus load to mitigate is (kg TP/yr):","")</f>
        <v/>
      </c>
      <c r="B14" s="100" t="str">
        <f>IF(IFERROR(IF(Nutrients_from_wastewater!$A$21="","",ROUND((Nutrients_from_wastewater!B22+$B$6)*1.2,2)),IFERROR(B12,""))&lt;0,0,IFERROR(IF(Nutrients_from_wastewater!$A$21="","",ROUND((Nutrients_from_wastewater!B22+$B$6)*1.2,2)),IFERROR(B12,"")))</f>
        <v/>
      </c>
    </row>
    <row r="15" spans="1:4" ht="22.5" customHeight="1" x14ac:dyDescent="0.35">
      <c r="A15" s="63"/>
      <c r="B15" s="40"/>
    </row>
    <row r="16" spans="1:4" ht="15.5" x14ac:dyDescent="0.35">
      <c r="A16" s="63"/>
      <c r="B16" s="40"/>
      <c r="C16" s="44"/>
    </row>
  </sheetData>
  <sheetProtection algorithmName="SHA-512" hashValue="rjZw+sPGyYsFdfBFZGt5m5ODs+dWA5HSfocz+NmcQx17BarSdt3FD5pV9iHcEdZx5FP4MpsBfISDsNtvyg4hOg==" saltValue="+HFc0I420/Bfhu1ib99/m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80"/>
  <sheetViews>
    <sheetView zoomScaleNormal="100" workbookViewId="0"/>
  </sheetViews>
  <sheetFormatPr defaultColWidth="65.453125" defaultRowHeight="15.5" x14ac:dyDescent="0.35"/>
  <cols>
    <col min="1" max="1" width="41" style="107" customWidth="1"/>
    <col min="2" max="4" width="15.7265625" style="107" customWidth="1"/>
    <col min="5" max="5" width="25.7265625" style="107" customWidth="1"/>
    <col min="6" max="6" width="79.81640625" style="107" customWidth="1"/>
    <col min="7" max="8" width="15.7265625" style="107" customWidth="1"/>
    <col min="9" max="9" width="25.7265625" style="107" customWidth="1"/>
    <col min="10" max="13" width="15.7265625" style="107" customWidth="1"/>
    <col min="14" max="16384" width="65.453125" style="107"/>
  </cols>
  <sheetData>
    <row r="1" spans="1:14" s="108" customFormat="1" ht="37.5" customHeight="1" x14ac:dyDescent="0.35">
      <c r="A1" s="106" t="s">
        <v>11</v>
      </c>
      <c r="B1" s="119"/>
      <c r="C1" s="119"/>
      <c r="D1" s="119"/>
      <c r="E1" s="119"/>
      <c r="F1" s="119"/>
      <c r="G1" s="119"/>
      <c r="H1" s="119"/>
      <c r="I1" s="119"/>
      <c r="J1" s="119"/>
      <c r="K1" s="119"/>
      <c r="L1" s="119"/>
      <c r="M1" s="119"/>
      <c r="N1" s="119"/>
    </row>
    <row r="2" spans="1:14" ht="51.75" customHeight="1" x14ac:dyDescent="0.35">
      <c r="A2" s="33" t="s">
        <v>116</v>
      </c>
    </row>
    <row r="3" spans="1:14" s="108" customFormat="1" ht="37.5" customHeight="1" x14ac:dyDescent="0.35">
      <c r="A3" s="105" t="s">
        <v>117</v>
      </c>
    </row>
    <row r="4" spans="1:14" ht="75.75" customHeight="1" x14ac:dyDescent="0.35">
      <c r="A4" s="22" t="s">
        <v>118</v>
      </c>
      <c r="B4" s="22" t="s">
        <v>119</v>
      </c>
      <c r="C4" s="22" t="s">
        <v>120</v>
      </c>
      <c r="D4" s="22" t="s">
        <v>121</v>
      </c>
      <c r="E4" s="22"/>
      <c r="F4" s="44"/>
      <c r="G4" s="44"/>
      <c r="H4" s="22"/>
      <c r="I4" s="22"/>
      <c r="J4" s="44"/>
      <c r="L4" s="3"/>
      <c r="M4" s="3"/>
    </row>
    <row r="5" spans="1:14" x14ac:dyDescent="0.35">
      <c r="A5" s="3" t="s">
        <v>122</v>
      </c>
      <c r="B5" s="3">
        <v>1</v>
      </c>
      <c r="C5" s="3">
        <v>1</v>
      </c>
      <c r="D5" s="3">
        <v>1</v>
      </c>
      <c r="E5" s="3"/>
      <c r="F5" s="3"/>
      <c r="G5" s="3"/>
      <c r="H5" s="3"/>
      <c r="I5" s="3"/>
      <c r="J5" s="3"/>
      <c r="L5" s="3"/>
      <c r="M5" s="3"/>
    </row>
    <row r="6" spans="1:14" x14ac:dyDescent="0.35">
      <c r="A6" s="3" t="s">
        <v>123</v>
      </c>
      <c r="B6" s="3">
        <v>1</v>
      </c>
      <c r="C6" s="3">
        <v>1</v>
      </c>
      <c r="D6" s="3">
        <v>0.25</v>
      </c>
      <c r="E6" s="3"/>
      <c r="F6" s="3"/>
      <c r="G6" s="3"/>
      <c r="H6" s="3"/>
      <c r="I6" s="3"/>
      <c r="J6" s="3"/>
      <c r="L6" s="3"/>
      <c r="M6" s="3"/>
    </row>
    <row r="7" spans="1:14" x14ac:dyDescent="0.35">
      <c r="A7" s="3" t="s">
        <v>124</v>
      </c>
      <c r="B7" s="3">
        <v>2</v>
      </c>
      <c r="C7" s="3">
        <v>2</v>
      </c>
      <c r="D7" s="3">
        <v>2</v>
      </c>
      <c r="E7" s="3"/>
      <c r="F7" s="3"/>
      <c r="G7" s="3"/>
      <c r="H7" s="3"/>
      <c r="I7" s="3"/>
      <c r="J7" s="3"/>
      <c r="L7" s="3"/>
      <c r="M7" s="3"/>
    </row>
    <row r="8" spans="1:14" x14ac:dyDescent="0.35">
      <c r="A8" s="3" t="s">
        <v>125</v>
      </c>
      <c r="B8" s="3">
        <v>8</v>
      </c>
      <c r="C8" s="3">
        <v>8</v>
      </c>
      <c r="D8" s="3">
        <v>8</v>
      </c>
      <c r="E8" s="3"/>
      <c r="F8" s="3"/>
      <c r="G8" s="3"/>
      <c r="H8" s="3"/>
      <c r="I8" s="3"/>
      <c r="J8" s="3"/>
      <c r="L8" s="3"/>
      <c r="M8" s="3"/>
    </row>
    <row r="9" spans="1:14" x14ac:dyDescent="0.35">
      <c r="A9" s="3" t="s">
        <v>126</v>
      </c>
      <c r="B9" s="3">
        <v>8</v>
      </c>
      <c r="C9" s="3">
        <v>8</v>
      </c>
      <c r="D9" s="3">
        <v>8</v>
      </c>
      <c r="E9" s="3"/>
      <c r="F9" s="3"/>
      <c r="G9" s="3"/>
      <c r="H9" s="3"/>
      <c r="I9" s="3"/>
      <c r="J9" s="3"/>
      <c r="L9" s="3"/>
      <c r="M9" s="3"/>
    </row>
    <row r="10" spans="1:14" x14ac:dyDescent="0.35">
      <c r="A10" s="3" t="s">
        <v>127</v>
      </c>
      <c r="B10" s="3">
        <v>8</v>
      </c>
      <c r="C10" s="3">
        <v>8</v>
      </c>
      <c r="D10" s="3">
        <v>8</v>
      </c>
      <c r="E10" s="3"/>
      <c r="F10" s="3"/>
      <c r="G10" s="3"/>
      <c r="H10" s="3"/>
      <c r="I10" s="3"/>
      <c r="J10" s="3"/>
      <c r="L10" s="3"/>
      <c r="M10" s="3"/>
    </row>
    <row r="11" spans="1:14" x14ac:dyDescent="0.35">
      <c r="A11" s="3" t="s">
        <v>128</v>
      </c>
      <c r="B11" s="3">
        <v>8</v>
      </c>
      <c r="C11" s="3">
        <v>8</v>
      </c>
      <c r="D11" s="3">
        <v>0.25</v>
      </c>
      <c r="E11" s="3"/>
      <c r="F11" s="3"/>
      <c r="G11" s="3"/>
      <c r="H11" s="3"/>
      <c r="I11" s="3"/>
      <c r="J11" s="3"/>
      <c r="L11" s="3"/>
      <c r="M11" s="3"/>
    </row>
    <row r="12" spans="1:14" x14ac:dyDescent="0.35">
      <c r="A12" s="3" t="s">
        <v>129</v>
      </c>
      <c r="B12" s="3">
        <v>8</v>
      </c>
      <c r="C12" s="3">
        <v>8</v>
      </c>
      <c r="D12" s="3">
        <v>8</v>
      </c>
      <c r="E12" s="3"/>
      <c r="F12" s="3"/>
      <c r="G12" s="3"/>
      <c r="H12" s="3"/>
      <c r="I12" s="3"/>
      <c r="J12" s="3"/>
      <c r="L12" s="3"/>
      <c r="M12" s="3"/>
    </row>
    <row r="13" spans="1:14" x14ac:dyDescent="0.35">
      <c r="A13" s="3" t="s">
        <v>130</v>
      </c>
      <c r="B13" s="3">
        <v>8</v>
      </c>
      <c r="C13" s="3">
        <v>8</v>
      </c>
      <c r="D13" s="3">
        <v>8</v>
      </c>
      <c r="E13" s="3"/>
      <c r="F13" s="3"/>
      <c r="G13" s="3"/>
      <c r="H13" s="3"/>
      <c r="I13" s="3"/>
      <c r="J13" s="3"/>
      <c r="L13" s="3"/>
      <c r="M13" s="3"/>
    </row>
    <row r="14" spans="1:14" x14ac:dyDescent="0.35">
      <c r="A14" s="3" t="s">
        <v>131</v>
      </c>
      <c r="B14" s="3">
        <v>1</v>
      </c>
      <c r="C14" s="3">
        <v>1</v>
      </c>
      <c r="D14" s="3">
        <v>0.25</v>
      </c>
      <c r="E14" s="3"/>
      <c r="F14" s="3"/>
      <c r="G14" s="3"/>
      <c r="H14" s="3"/>
      <c r="I14" s="3"/>
      <c r="J14" s="3"/>
      <c r="L14" s="3"/>
      <c r="M14" s="3"/>
    </row>
    <row r="15" spans="1:14" x14ac:dyDescent="0.35">
      <c r="A15" s="3" t="s">
        <v>132</v>
      </c>
      <c r="B15" s="3">
        <v>1</v>
      </c>
      <c r="C15" s="3">
        <v>1</v>
      </c>
      <c r="D15" s="3">
        <v>1</v>
      </c>
      <c r="E15" s="3"/>
      <c r="F15" s="3"/>
      <c r="G15" s="3"/>
      <c r="H15" s="3"/>
      <c r="I15" s="3"/>
      <c r="J15" s="3"/>
      <c r="L15" s="3"/>
      <c r="M15" s="3"/>
    </row>
    <row r="16" spans="1:14" x14ac:dyDescent="0.35">
      <c r="A16" s="3" t="s">
        <v>133</v>
      </c>
      <c r="B16" s="3">
        <v>8</v>
      </c>
      <c r="C16" s="3">
        <v>8</v>
      </c>
      <c r="D16" s="3">
        <v>8</v>
      </c>
      <c r="E16" s="3"/>
      <c r="F16" s="3"/>
      <c r="G16" s="3"/>
      <c r="H16" s="3"/>
      <c r="I16" s="3"/>
      <c r="J16" s="3"/>
      <c r="L16" s="3"/>
      <c r="M16" s="3"/>
    </row>
    <row r="17" spans="1:13" x14ac:dyDescent="0.35">
      <c r="A17" s="3" t="s">
        <v>134</v>
      </c>
      <c r="B17" s="3">
        <v>8</v>
      </c>
      <c r="C17" s="3">
        <v>8</v>
      </c>
      <c r="D17" s="3">
        <v>8</v>
      </c>
      <c r="E17" s="3"/>
      <c r="F17" s="3"/>
      <c r="G17" s="3"/>
      <c r="H17" s="3"/>
      <c r="I17" s="3"/>
      <c r="J17" s="3"/>
      <c r="L17" s="3"/>
      <c r="M17" s="3"/>
    </row>
    <row r="18" spans="1:13" x14ac:dyDescent="0.35">
      <c r="A18" s="3" t="s">
        <v>135</v>
      </c>
      <c r="B18" s="3">
        <v>1</v>
      </c>
      <c r="C18" s="3">
        <v>1</v>
      </c>
      <c r="D18" s="3">
        <v>0.25</v>
      </c>
      <c r="E18" s="3"/>
      <c r="F18" s="3"/>
      <c r="G18" s="3"/>
      <c r="H18" s="3"/>
      <c r="I18" s="3"/>
      <c r="J18" s="3"/>
      <c r="L18" s="3"/>
      <c r="M18" s="3"/>
    </row>
    <row r="19" spans="1:13" x14ac:dyDescent="0.35">
      <c r="A19" s="3" t="s">
        <v>136</v>
      </c>
      <c r="B19" s="3">
        <v>1</v>
      </c>
      <c r="C19" s="3">
        <v>1</v>
      </c>
      <c r="D19" s="3">
        <v>1</v>
      </c>
      <c r="E19" s="3"/>
      <c r="F19" s="3"/>
      <c r="G19" s="3"/>
      <c r="H19" s="3"/>
      <c r="I19" s="3"/>
      <c r="J19" s="3"/>
      <c r="L19" s="3"/>
      <c r="M19" s="3"/>
    </row>
    <row r="20" spans="1:13" x14ac:dyDescent="0.35">
      <c r="A20" s="3" t="s">
        <v>137</v>
      </c>
      <c r="B20" s="3">
        <v>8</v>
      </c>
      <c r="C20" s="3">
        <v>8</v>
      </c>
      <c r="D20" s="3">
        <v>8</v>
      </c>
      <c r="E20" s="3"/>
      <c r="F20" s="3"/>
      <c r="G20" s="3"/>
      <c r="H20" s="3"/>
      <c r="I20" s="3"/>
      <c r="J20" s="3"/>
      <c r="L20" s="3"/>
      <c r="M20" s="3"/>
    </row>
    <row r="21" spans="1:13" x14ac:dyDescent="0.35">
      <c r="A21" s="3" t="s">
        <v>138</v>
      </c>
      <c r="B21" s="3">
        <v>1</v>
      </c>
      <c r="C21" s="3">
        <v>1</v>
      </c>
      <c r="D21" s="3">
        <v>0.25</v>
      </c>
      <c r="E21" s="3"/>
      <c r="F21" s="3"/>
      <c r="G21" s="3"/>
      <c r="H21" s="3"/>
      <c r="I21" s="3"/>
      <c r="J21" s="3"/>
      <c r="L21" s="3"/>
      <c r="M21" s="3"/>
    </row>
    <row r="22" spans="1:13" x14ac:dyDescent="0.35">
      <c r="A22" s="3" t="s">
        <v>139</v>
      </c>
      <c r="B22" s="3">
        <v>8</v>
      </c>
      <c r="C22" s="3">
        <v>8</v>
      </c>
      <c r="D22" s="3">
        <v>8</v>
      </c>
      <c r="E22" s="3"/>
      <c r="F22" s="3"/>
      <c r="G22" s="3"/>
      <c r="H22" s="3"/>
      <c r="I22" s="3"/>
      <c r="J22" s="3"/>
      <c r="L22" s="3"/>
      <c r="M22" s="3"/>
    </row>
    <row r="23" spans="1:13" x14ac:dyDescent="0.35">
      <c r="A23" s="3" t="s">
        <v>140</v>
      </c>
      <c r="B23" s="3">
        <v>1</v>
      </c>
      <c r="C23" s="3">
        <v>1</v>
      </c>
      <c r="D23" s="3">
        <v>0.25</v>
      </c>
      <c r="E23" s="3"/>
      <c r="F23" s="3"/>
      <c r="G23" s="3"/>
      <c r="H23" s="3"/>
      <c r="I23" s="3"/>
      <c r="J23" s="3"/>
      <c r="L23" s="3"/>
      <c r="M23" s="3"/>
    </row>
    <row r="24" spans="1:13" x14ac:dyDescent="0.35">
      <c r="A24" s="3" t="s">
        <v>141</v>
      </c>
      <c r="B24" s="3">
        <v>8</v>
      </c>
      <c r="C24" s="3">
        <v>8</v>
      </c>
      <c r="D24" s="3">
        <v>8</v>
      </c>
      <c r="E24" s="3"/>
      <c r="F24" s="3"/>
      <c r="G24" s="3"/>
      <c r="H24" s="3"/>
      <c r="I24" s="3"/>
      <c r="J24" s="3"/>
      <c r="L24" s="3"/>
      <c r="M24" s="3"/>
    </row>
    <row r="25" spans="1:13" x14ac:dyDescent="0.35">
      <c r="A25" s="3" t="s">
        <v>142</v>
      </c>
      <c r="B25" s="3">
        <v>2</v>
      </c>
      <c r="C25" s="3">
        <v>2</v>
      </c>
      <c r="D25" s="3">
        <v>2</v>
      </c>
      <c r="E25" s="3"/>
      <c r="F25" s="3"/>
      <c r="G25" s="3"/>
      <c r="H25" s="3"/>
      <c r="I25" s="3"/>
      <c r="J25" s="3"/>
      <c r="L25" s="3"/>
      <c r="M25" s="3"/>
    </row>
    <row r="26" spans="1:13" x14ac:dyDescent="0.35">
      <c r="A26" s="3" t="s">
        <v>143</v>
      </c>
      <c r="B26" s="3">
        <v>8</v>
      </c>
      <c r="C26" s="3">
        <v>8</v>
      </c>
      <c r="D26" s="3">
        <v>8</v>
      </c>
      <c r="E26" s="3"/>
      <c r="F26" s="3"/>
      <c r="G26" s="3"/>
      <c r="H26" s="3"/>
      <c r="I26" s="3"/>
      <c r="J26" s="3"/>
      <c r="L26" s="3"/>
      <c r="M26" s="3"/>
    </row>
    <row r="27" spans="1:13" x14ac:dyDescent="0.35">
      <c r="A27" s="3" t="s">
        <v>144</v>
      </c>
      <c r="B27" s="3">
        <v>8</v>
      </c>
      <c r="C27" s="3">
        <v>8</v>
      </c>
      <c r="D27" s="3">
        <v>8</v>
      </c>
      <c r="E27" s="3"/>
      <c r="F27" s="3"/>
      <c r="G27" s="3"/>
      <c r="H27" s="3"/>
      <c r="I27" s="3"/>
      <c r="J27" s="3"/>
      <c r="L27" s="3"/>
      <c r="M27" s="3"/>
    </row>
    <row r="28" spans="1:13" x14ac:dyDescent="0.35">
      <c r="A28" s="3" t="s">
        <v>145</v>
      </c>
      <c r="B28" s="3">
        <v>1</v>
      </c>
      <c r="C28" s="3">
        <v>1</v>
      </c>
      <c r="D28" s="3">
        <v>0.25</v>
      </c>
      <c r="E28" s="3"/>
      <c r="F28" s="3"/>
      <c r="G28" s="3"/>
      <c r="H28" s="3"/>
      <c r="I28" s="3"/>
      <c r="J28" s="3"/>
      <c r="L28" s="3"/>
      <c r="M28" s="3"/>
    </row>
    <row r="29" spans="1:13" x14ac:dyDescent="0.35">
      <c r="A29" s="3" t="s">
        <v>146</v>
      </c>
      <c r="B29" s="3">
        <v>1</v>
      </c>
      <c r="C29" s="3">
        <v>1</v>
      </c>
      <c r="D29" s="3">
        <v>0.25</v>
      </c>
      <c r="E29" s="3"/>
      <c r="F29" s="3"/>
      <c r="G29" s="3"/>
      <c r="H29" s="3"/>
      <c r="I29" s="3"/>
      <c r="J29" s="3"/>
      <c r="L29" s="3"/>
      <c r="M29" s="3"/>
    </row>
    <row r="30" spans="1:13" x14ac:dyDescent="0.35">
      <c r="A30" s="3" t="s">
        <v>147</v>
      </c>
      <c r="B30" s="3">
        <v>1</v>
      </c>
      <c r="C30" s="3">
        <v>1</v>
      </c>
      <c r="D30" s="3">
        <v>0.25</v>
      </c>
      <c r="E30" s="3"/>
      <c r="F30" s="3"/>
      <c r="G30" s="3"/>
      <c r="H30" s="3"/>
      <c r="I30" s="3"/>
      <c r="J30" s="3"/>
      <c r="L30" s="3"/>
      <c r="M30" s="3"/>
    </row>
    <row r="31" spans="1:13" x14ac:dyDescent="0.35">
      <c r="A31" s="3" t="s">
        <v>148</v>
      </c>
      <c r="B31" s="3">
        <v>1</v>
      </c>
      <c r="C31" s="3">
        <v>1</v>
      </c>
      <c r="D31" s="3">
        <v>0.25</v>
      </c>
      <c r="E31" s="3"/>
      <c r="F31" s="3"/>
      <c r="G31" s="3"/>
      <c r="H31" s="3"/>
      <c r="I31" s="3"/>
      <c r="J31" s="3"/>
      <c r="L31" s="3"/>
      <c r="M31" s="3"/>
    </row>
    <row r="32" spans="1:13" x14ac:dyDescent="0.35">
      <c r="A32" s="3" t="s">
        <v>149</v>
      </c>
      <c r="B32" s="3">
        <v>1</v>
      </c>
      <c r="C32" s="3">
        <v>1</v>
      </c>
      <c r="D32" s="3">
        <v>0.25</v>
      </c>
      <c r="E32" s="3"/>
      <c r="F32" s="3"/>
      <c r="G32" s="3"/>
      <c r="H32" s="3"/>
      <c r="I32" s="3"/>
      <c r="J32" s="3"/>
      <c r="L32" s="3"/>
      <c r="M32" s="3"/>
    </row>
    <row r="33" spans="1:13" x14ac:dyDescent="0.35">
      <c r="A33" s="3" t="s">
        <v>150</v>
      </c>
      <c r="B33" s="3">
        <v>8</v>
      </c>
      <c r="C33" s="3">
        <v>8</v>
      </c>
      <c r="D33" s="3">
        <v>8</v>
      </c>
      <c r="E33" s="3"/>
      <c r="F33" s="3"/>
      <c r="G33" s="3"/>
      <c r="H33" s="3"/>
      <c r="I33" s="3"/>
      <c r="J33" s="3"/>
      <c r="L33" s="3"/>
      <c r="M33" s="3"/>
    </row>
    <row r="34" spans="1:13" x14ac:dyDescent="0.35">
      <c r="A34" s="3" t="s">
        <v>151</v>
      </c>
      <c r="B34" s="3">
        <v>8</v>
      </c>
      <c r="C34" s="3">
        <v>8</v>
      </c>
      <c r="D34" s="3">
        <v>0.25</v>
      </c>
      <c r="E34" s="3"/>
      <c r="F34" s="3"/>
      <c r="G34" s="3"/>
      <c r="H34" s="3"/>
      <c r="I34" s="3"/>
      <c r="J34" s="3"/>
      <c r="L34" s="3"/>
      <c r="M34" s="3"/>
    </row>
    <row r="35" spans="1:13" x14ac:dyDescent="0.35">
      <c r="A35" s="3" t="s">
        <v>152</v>
      </c>
      <c r="B35" s="3">
        <v>1</v>
      </c>
      <c r="C35" s="3">
        <v>1</v>
      </c>
      <c r="D35" s="3">
        <v>0.25</v>
      </c>
      <c r="E35" s="3"/>
      <c r="F35" s="3"/>
      <c r="G35" s="3"/>
      <c r="H35" s="3"/>
      <c r="I35" s="3"/>
      <c r="J35" s="3"/>
      <c r="L35" s="3"/>
      <c r="M35" s="3"/>
    </row>
    <row r="36" spans="1:13" x14ac:dyDescent="0.35">
      <c r="A36" s="3" t="s">
        <v>153</v>
      </c>
      <c r="B36" s="3">
        <v>8</v>
      </c>
      <c r="C36" s="3">
        <v>8</v>
      </c>
      <c r="D36" s="3">
        <v>8</v>
      </c>
      <c r="E36" s="3"/>
      <c r="F36" s="3"/>
      <c r="G36" s="3"/>
      <c r="H36" s="3"/>
      <c r="I36" s="3"/>
      <c r="J36" s="3"/>
      <c r="L36" s="3"/>
      <c r="M36" s="3"/>
    </row>
    <row r="37" spans="1:13" x14ac:dyDescent="0.35">
      <c r="A37" s="3" t="s">
        <v>154</v>
      </c>
      <c r="B37" s="3">
        <v>8</v>
      </c>
      <c r="C37" s="3">
        <v>8</v>
      </c>
      <c r="D37" s="3">
        <v>0.25</v>
      </c>
      <c r="E37" s="3"/>
      <c r="F37" s="3"/>
      <c r="G37" s="3"/>
      <c r="H37" s="3"/>
      <c r="I37" s="3"/>
      <c r="J37" s="3"/>
      <c r="L37" s="3"/>
      <c r="M37" s="3"/>
    </row>
    <row r="38" spans="1:13" x14ac:dyDescent="0.35">
      <c r="A38" s="3" t="s">
        <v>155</v>
      </c>
      <c r="B38" s="3">
        <v>8</v>
      </c>
      <c r="C38" s="3">
        <v>8</v>
      </c>
      <c r="D38" s="3">
        <v>8</v>
      </c>
      <c r="E38" s="3"/>
      <c r="F38" s="3"/>
      <c r="G38" s="3"/>
      <c r="H38" s="3"/>
      <c r="I38" s="3"/>
      <c r="J38" s="3"/>
      <c r="L38" s="3"/>
      <c r="M38" s="3"/>
    </row>
    <row r="39" spans="1:13" x14ac:dyDescent="0.35">
      <c r="A39" s="3" t="s">
        <v>156</v>
      </c>
      <c r="B39" s="3">
        <v>1</v>
      </c>
      <c r="C39" s="3">
        <v>1</v>
      </c>
      <c r="D39" s="3">
        <v>0.25</v>
      </c>
      <c r="E39" s="3"/>
      <c r="F39" s="3"/>
      <c r="G39" s="3"/>
      <c r="H39" s="3"/>
      <c r="I39" s="3"/>
      <c r="J39" s="3"/>
      <c r="L39" s="3"/>
      <c r="M39" s="3"/>
    </row>
    <row r="40" spans="1:13" x14ac:dyDescent="0.35">
      <c r="A40" s="3" t="s">
        <v>157</v>
      </c>
      <c r="B40" s="3">
        <v>1</v>
      </c>
      <c r="C40" s="3">
        <v>1</v>
      </c>
      <c r="D40" s="3">
        <v>1</v>
      </c>
      <c r="E40" s="3"/>
      <c r="F40" s="3"/>
      <c r="G40" s="3"/>
      <c r="H40" s="3"/>
      <c r="I40" s="3"/>
      <c r="J40" s="3"/>
      <c r="L40" s="3"/>
      <c r="M40" s="3"/>
    </row>
    <row r="41" spans="1:13" x14ac:dyDescent="0.35">
      <c r="A41" s="3" t="s">
        <v>158</v>
      </c>
      <c r="B41" s="3">
        <v>1</v>
      </c>
      <c r="C41" s="3">
        <v>0.5</v>
      </c>
      <c r="D41" s="3">
        <v>0.25</v>
      </c>
      <c r="E41" s="3"/>
      <c r="F41" s="3"/>
      <c r="G41" s="3"/>
      <c r="H41" s="3"/>
      <c r="I41" s="3"/>
      <c r="J41" s="3"/>
      <c r="L41" s="3"/>
      <c r="M41" s="3"/>
    </row>
    <row r="42" spans="1:13" x14ac:dyDescent="0.35">
      <c r="A42" s="3" t="s">
        <v>159</v>
      </c>
      <c r="B42" s="3">
        <v>8</v>
      </c>
      <c r="C42" s="3">
        <v>8</v>
      </c>
      <c r="D42" s="3">
        <v>8</v>
      </c>
      <c r="E42" s="3"/>
      <c r="F42" s="3"/>
      <c r="G42" s="3"/>
      <c r="H42" s="3"/>
      <c r="I42" s="3"/>
      <c r="J42" s="3"/>
      <c r="L42" s="3"/>
      <c r="M42" s="3"/>
    </row>
    <row r="43" spans="1:13" x14ac:dyDescent="0.35">
      <c r="A43" s="3" t="s">
        <v>160</v>
      </c>
      <c r="B43" s="3">
        <v>8</v>
      </c>
      <c r="C43" s="3">
        <v>8</v>
      </c>
      <c r="D43" s="3">
        <v>8</v>
      </c>
      <c r="E43" s="3"/>
      <c r="F43" s="3"/>
      <c r="G43" s="3"/>
      <c r="H43" s="3"/>
      <c r="I43" s="3"/>
      <c r="J43" s="3"/>
      <c r="L43" s="3"/>
      <c r="M43" s="3"/>
    </row>
    <row r="44" spans="1:13" x14ac:dyDescent="0.35">
      <c r="A44" s="3" t="s">
        <v>161</v>
      </c>
      <c r="B44" s="3">
        <v>8</v>
      </c>
      <c r="C44" s="3">
        <v>8</v>
      </c>
      <c r="D44" s="3">
        <v>8</v>
      </c>
      <c r="E44" s="3"/>
      <c r="F44" s="3"/>
      <c r="G44" s="3"/>
      <c r="H44" s="3"/>
      <c r="I44" s="3"/>
      <c r="J44" s="3"/>
      <c r="L44" s="3"/>
      <c r="M44" s="3"/>
    </row>
    <row r="45" spans="1:13" x14ac:dyDescent="0.35">
      <c r="A45" s="3" t="s">
        <v>162</v>
      </c>
      <c r="B45" s="3">
        <v>9.6999999999999993</v>
      </c>
      <c r="C45" s="3">
        <v>9.6999999999999993</v>
      </c>
      <c r="D45" s="3">
        <v>9.6999999999999993</v>
      </c>
      <c r="E45" s="3"/>
      <c r="F45" s="3"/>
      <c r="G45" s="3"/>
      <c r="H45" s="3"/>
      <c r="I45" s="3"/>
      <c r="J45" s="3"/>
      <c r="L45" s="3"/>
      <c r="M45" s="3"/>
    </row>
    <row r="46" spans="1:13" x14ac:dyDescent="0.35">
      <c r="A46" s="3" t="s">
        <v>163</v>
      </c>
      <c r="B46" s="3">
        <v>11.6</v>
      </c>
      <c r="C46" s="3">
        <v>11.6</v>
      </c>
      <c r="D46" s="3">
        <v>11.6</v>
      </c>
      <c r="E46" s="3"/>
      <c r="F46" s="3"/>
      <c r="G46" s="3"/>
      <c r="H46" s="3"/>
      <c r="I46" s="3"/>
      <c r="J46" s="3"/>
      <c r="L46" s="3"/>
      <c r="M46" s="3"/>
    </row>
    <row r="47" spans="1:13" x14ac:dyDescent="0.35">
      <c r="A47" s="3" t="s">
        <v>164</v>
      </c>
      <c r="B47" s="3"/>
      <c r="C47" s="3"/>
      <c r="D47" s="3"/>
      <c r="E47" s="3"/>
      <c r="F47" s="3"/>
      <c r="G47" s="3"/>
      <c r="H47" s="3"/>
      <c r="I47" s="3"/>
      <c r="J47" s="3"/>
      <c r="L47" s="3"/>
      <c r="M47" s="3"/>
    </row>
    <row r="48" spans="1:13" x14ac:dyDescent="0.35">
      <c r="A48" s="3" t="s">
        <v>165</v>
      </c>
      <c r="B48" s="3"/>
      <c r="C48" s="3"/>
      <c r="D48" s="3"/>
      <c r="E48" s="3"/>
      <c r="F48" s="3"/>
      <c r="G48" s="3"/>
      <c r="H48" s="3"/>
      <c r="I48" s="3"/>
      <c r="J48" s="3"/>
      <c r="L48" s="3"/>
      <c r="M48" s="3"/>
    </row>
    <row r="49" spans="1:13" x14ac:dyDescent="0.35">
      <c r="A49" s="3"/>
      <c r="B49" s="3"/>
      <c r="C49" s="3"/>
      <c r="D49" s="3"/>
      <c r="E49" s="3"/>
      <c r="F49" s="3"/>
      <c r="G49" s="3"/>
      <c r="H49" s="3"/>
      <c r="I49" s="3"/>
      <c r="J49" s="3"/>
      <c r="K49" s="3"/>
      <c r="L49" s="3"/>
      <c r="M49" s="3"/>
    </row>
    <row r="50" spans="1:13" s="108" customFormat="1" ht="37.5" customHeight="1" x14ac:dyDescent="0.35">
      <c r="A50" s="105" t="s">
        <v>166</v>
      </c>
      <c r="B50" s="112"/>
      <c r="C50" s="112"/>
      <c r="D50" s="112"/>
      <c r="E50" s="112"/>
      <c r="F50" s="112"/>
      <c r="G50" s="112"/>
      <c r="H50" s="112"/>
      <c r="I50" s="112"/>
      <c r="J50" s="112"/>
      <c r="K50" s="112"/>
      <c r="L50" s="112"/>
      <c r="M50" s="112"/>
    </row>
    <row r="51" spans="1:13" ht="77.5" x14ac:dyDescent="0.35">
      <c r="A51" s="22" t="s">
        <v>167</v>
      </c>
      <c r="B51" s="22" t="s">
        <v>168</v>
      </c>
      <c r="C51" s="22" t="s">
        <v>169</v>
      </c>
      <c r="D51" s="22" t="s">
        <v>170</v>
      </c>
      <c r="E51" s="22" t="s">
        <v>171</v>
      </c>
      <c r="F51" s="22" t="s">
        <v>172</v>
      </c>
      <c r="G51" s="22" t="s">
        <v>173</v>
      </c>
      <c r="H51" s="22" t="s">
        <v>174</v>
      </c>
      <c r="I51" s="22" t="s">
        <v>175</v>
      </c>
      <c r="J51" s="22" t="s">
        <v>176</v>
      </c>
      <c r="K51" s="22" t="s">
        <v>177</v>
      </c>
      <c r="L51" s="22" t="s">
        <v>178</v>
      </c>
      <c r="M51" s="22" t="s">
        <v>179</v>
      </c>
    </row>
    <row r="52" spans="1:13" x14ac:dyDescent="0.35">
      <c r="A52" s="117" t="s">
        <v>180</v>
      </c>
      <c r="B52" s="117" t="s">
        <v>181</v>
      </c>
      <c r="C52" s="117" t="b">
        <v>0</v>
      </c>
      <c r="D52" s="117" t="s">
        <v>182</v>
      </c>
      <c r="E52" s="117" t="s">
        <v>183</v>
      </c>
      <c r="F52" s="3" t="s">
        <v>184</v>
      </c>
      <c r="G52" s="110"/>
      <c r="H52" s="110">
        <v>0.12119332530016153</v>
      </c>
      <c r="I52" s="3" t="s">
        <v>185</v>
      </c>
      <c r="J52" s="3"/>
      <c r="K52" s="110">
        <v>0.56723595432368723</v>
      </c>
      <c r="L52" s="3"/>
      <c r="M52" s="110">
        <v>0.6579581473487438</v>
      </c>
    </row>
    <row r="53" spans="1:13" x14ac:dyDescent="0.35">
      <c r="A53" s="117" t="s">
        <v>180</v>
      </c>
      <c r="B53" s="117" t="s">
        <v>181</v>
      </c>
      <c r="C53" s="117" t="b">
        <v>1</v>
      </c>
      <c r="D53" s="117" t="s">
        <v>182</v>
      </c>
      <c r="E53" s="117" t="s">
        <v>183</v>
      </c>
      <c r="F53" s="3" t="s">
        <v>186</v>
      </c>
      <c r="G53" s="110"/>
      <c r="H53" s="110">
        <v>0.12118590174522835</v>
      </c>
      <c r="I53" s="3" t="s">
        <v>185</v>
      </c>
      <c r="J53" s="3"/>
      <c r="K53" s="110"/>
      <c r="L53" s="3"/>
      <c r="M53" s="110"/>
    </row>
    <row r="54" spans="1:13" x14ac:dyDescent="0.35">
      <c r="A54" s="117" t="s">
        <v>180</v>
      </c>
      <c r="B54" s="117" t="s">
        <v>181</v>
      </c>
      <c r="C54" s="117" t="b">
        <v>0</v>
      </c>
      <c r="D54" s="117" t="s">
        <v>182</v>
      </c>
      <c r="E54" s="117" t="s">
        <v>187</v>
      </c>
      <c r="F54" s="3" t="s">
        <v>188</v>
      </c>
      <c r="G54" s="110"/>
      <c r="H54" s="110">
        <v>0.66046425129948039</v>
      </c>
      <c r="I54" s="3" t="s">
        <v>185</v>
      </c>
      <c r="J54" s="3"/>
      <c r="K54" s="110"/>
      <c r="L54" s="3"/>
      <c r="M54" s="110"/>
    </row>
    <row r="55" spans="1:13" x14ac:dyDescent="0.35">
      <c r="A55" s="117" t="s">
        <v>180</v>
      </c>
      <c r="B55" s="117" t="s">
        <v>181</v>
      </c>
      <c r="C55" s="117" t="b">
        <v>1</v>
      </c>
      <c r="D55" s="117" t="s">
        <v>182</v>
      </c>
      <c r="E55" s="117" t="s">
        <v>187</v>
      </c>
      <c r="F55" s="3" t="s">
        <v>189</v>
      </c>
      <c r="G55" s="110"/>
      <c r="H55" s="110">
        <v>0.66040737814810957</v>
      </c>
      <c r="I55" s="3" t="s">
        <v>185</v>
      </c>
      <c r="J55" s="3"/>
      <c r="K55" s="110"/>
      <c r="L55" s="3"/>
      <c r="M55" s="110"/>
    </row>
    <row r="56" spans="1:13" x14ac:dyDescent="0.35">
      <c r="A56" s="117" t="s">
        <v>180</v>
      </c>
      <c r="B56" s="117" t="s">
        <v>181</v>
      </c>
      <c r="C56" s="117" t="b">
        <v>0</v>
      </c>
      <c r="D56" s="117" t="s">
        <v>182</v>
      </c>
      <c r="E56" s="117" t="s">
        <v>190</v>
      </c>
      <c r="F56" s="3" t="s">
        <v>191</v>
      </c>
      <c r="G56" s="110"/>
      <c r="H56" s="110">
        <v>0.92005028637141961</v>
      </c>
      <c r="I56" s="3" t="s">
        <v>185</v>
      </c>
      <c r="J56" s="3"/>
      <c r="K56" s="110"/>
      <c r="L56" s="3"/>
      <c r="M56" s="110"/>
    </row>
    <row r="57" spans="1:13" x14ac:dyDescent="0.35">
      <c r="A57" s="117" t="s">
        <v>180</v>
      </c>
      <c r="B57" s="117" t="s">
        <v>181</v>
      </c>
      <c r="C57" s="117" t="b">
        <v>1</v>
      </c>
      <c r="D57" s="117" t="s">
        <v>182</v>
      </c>
      <c r="E57" s="117" t="s">
        <v>190</v>
      </c>
      <c r="F57" s="3" t="s">
        <v>192</v>
      </c>
      <c r="G57" s="110"/>
      <c r="H57" s="110">
        <v>0.91992435117060589</v>
      </c>
      <c r="I57" s="3" t="s">
        <v>185</v>
      </c>
      <c r="J57" s="3"/>
      <c r="K57" s="110"/>
      <c r="L57" s="3"/>
      <c r="M57" s="110"/>
    </row>
    <row r="58" spans="1:13" x14ac:dyDescent="0.35">
      <c r="A58" s="117" t="s">
        <v>180</v>
      </c>
      <c r="B58" s="117" t="s">
        <v>181</v>
      </c>
      <c r="C58" s="117" t="b">
        <v>0</v>
      </c>
      <c r="D58" s="117" t="s">
        <v>193</v>
      </c>
      <c r="E58" s="117" t="s">
        <v>183</v>
      </c>
      <c r="F58" s="3" t="s">
        <v>194</v>
      </c>
      <c r="G58" s="110"/>
      <c r="H58" s="110">
        <v>0.21237202292740134</v>
      </c>
      <c r="I58" s="3" t="s">
        <v>195</v>
      </c>
      <c r="J58" s="3"/>
      <c r="K58" s="110">
        <v>0.98799465217501048</v>
      </c>
      <c r="L58" s="3"/>
      <c r="M58" s="110"/>
    </row>
    <row r="59" spans="1:13" x14ac:dyDescent="0.35">
      <c r="A59" s="117" t="s">
        <v>180</v>
      </c>
      <c r="B59" s="117" t="s">
        <v>181</v>
      </c>
      <c r="C59" s="117" t="b">
        <v>1</v>
      </c>
      <c r="D59" s="117" t="s">
        <v>193</v>
      </c>
      <c r="E59" s="117" t="s">
        <v>183</v>
      </c>
      <c r="F59" s="3" t="s">
        <v>196</v>
      </c>
      <c r="G59" s="110"/>
      <c r="H59" s="110">
        <v>0.21236306234626323</v>
      </c>
      <c r="I59" s="3" t="s">
        <v>195</v>
      </c>
      <c r="J59" s="3"/>
      <c r="K59" s="110"/>
      <c r="L59" s="3"/>
      <c r="M59" s="110"/>
    </row>
    <row r="60" spans="1:13" x14ac:dyDescent="0.35">
      <c r="A60" s="117" t="s">
        <v>180</v>
      </c>
      <c r="B60" s="117" t="s">
        <v>181</v>
      </c>
      <c r="C60" s="117" t="b">
        <v>1</v>
      </c>
      <c r="D60" s="117" t="s">
        <v>193</v>
      </c>
      <c r="E60" s="117" t="s">
        <v>187</v>
      </c>
      <c r="F60" s="3" t="s">
        <v>197</v>
      </c>
      <c r="G60" s="110"/>
      <c r="H60" s="110">
        <v>1.2480363611590874</v>
      </c>
      <c r="I60" s="3" t="s">
        <v>195</v>
      </c>
      <c r="J60" s="3"/>
      <c r="K60" s="110"/>
      <c r="L60" s="3"/>
      <c r="M60" s="110"/>
    </row>
    <row r="61" spans="1:13" x14ac:dyDescent="0.35">
      <c r="A61" s="117" t="s">
        <v>180</v>
      </c>
      <c r="B61" s="117" t="s">
        <v>181</v>
      </c>
      <c r="C61" s="117" t="b">
        <v>0</v>
      </c>
      <c r="D61" s="117" t="s">
        <v>193</v>
      </c>
      <c r="E61" s="117" t="s">
        <v>190</v>
      </c>
      <c r="F61" s="3" t="s">
        <v>198</v>
      </c>
      <c r="G61" s="110"/>
      <c r="H61" s="110">
        <v>1.5035845330196809</v>
      </c>
      <c r="I61" s="3" t="s">
        <v>195</v>
      </c>
      <c r="J61" s="3"/>
      <c r="K61" s="110"/>
      <c r="L61" s="3"/>
      <c r="M61" s="110"/>
    </row>
    <row r="62" spans="1:13" x14ac:dyDescent="0.35">
      <c r="A62" s="117" t="s">
        <v>180</v>
      </c>
      <c r="B62" s="117" t="s">
        <v>199</v>
      </c>
      <c r="C62" s="117" t="b">
        <v>0</v>
      </c>
      <c r="D62" s="117" t="s">
        <v>182</v>
      </c>
      <c r="E62" s="117" t="s">
        <v>183</v>
      </c>
      <c r="F62" s="3" t="s">
        <v>200</v>
      </c>
      <c r="G62" s="110"/>
      <c r="H62" s="110">
        <v>9.2074887809217187E-2</v>
      </c>
      <c r="I62" s="3" t="s">
        <v>201</v>
      </c>
      <c r="J62" s="3"/>
      <c r="K62" s="110">
        <v>0.38998985971706279</v>
      </c>
      <c r="L62" s="3"/>
      <c r="M62" s="110">
        <v>0.52038740372938774</v>
      </c>
    </row>
    <row r="63" spans="1:13" x14ac:dyDescent="0.35">
      <c r="A63" s="117" t="s">
        <v>180</v>
      </c>
      <c r="B63" s="117" t="s">
        <v>199</v>
      </c>
      <c r="C63" s="117" t="b">
        <v>1</v>
      </c>
      <c r="D63" s="117" t="s">
        <v>182</v>
      </c>
      <c r="E63" s="117" t="s">
        <v>183</v>
      </c>
      <c r="F63" s="3" t="s">
        <v>202</v>
      </c>
      <c r="G63" s="110"/>
      <c r="H63" s="110">
        <v>9.2074887809217187E-2</v>
      </c>
      <c r="I63" s="3" t="s">
        <v>201</v>
      </c>
      <c r="J63" s="3"/>
      <c r="K63" s="110"/>
      <c r="L63" s="3"/>
      <c r="M63" s="110"/>
    </row>
    <row r="64" spans="1:13" x14ac:dyDescent="0.35">
      <c r="A64" s="117" t="s">
        <v>180</v>
      </c>
      <c r="B64" s="117" t="s">
        <v>199</v>
      </c>
      <c r="C64" s="117" t="b">
        <v>0</v>
      </c>
      <c r="D64" s="117" t="s">
        <v>182</v>
      </c>
      <c r="E64" s="117" t="s">
        <v>187</v>
      </c>
      <c r="F64" s="3" t="s">
        <v>203</v>
      </c>
      <c r="G64" s="110"/>
      <c r="H64" s="110">
        <v>0.40729110208668717</v>
      </c>
      <c r="I64" s="3" t="s">
        <v>201</v>
      </c>
      <c r="J64" s="3"/>
      <c r="K64" s="110"/>
      <c r="L64" s="3"/>
      <c r="M64" s="110"/>
    </row>
    <row r="65" spans="1:14" x14ac:dyDescent="0.35">
      <c r="A65" s="117" t="s">
        <v>180</v>
      </c>
      <c r="B65" s="117" t="s">
        <v>199</v>
      </c>
      <c r="C65" s="117" t="b">
        <v>1</v>
      </c>
      <c r="D65" s="117" t="s">
        <v>182</v>
      </c>
      <c r="E65" s="117" t="s">
        <v>187</v>
      </c>
      <c r="F65" s="3" t="s">
        <v>204</v>
      </c>
      <c r="G65" s="110"/>
      <c r="H65" s="110">
        <v>0.40729110208668717</v>
      </c>
      <c r="I65" s="3" t="s">
        <v>201</v>
      </c>
      <c r="J65" s="3"/>
      <c r="K65" s="110"/>
      <c r="L65" s="3"/>
      <c r="M65" s="110"/>
    </row>
    <row r="66" spans="1:14" x14ac:dyDescent="0.35">
      <c r="A66" s="117" t="s">
        <v>180</v>
      </c>
      <c r="B66" s="117" t="s">
        <v>199</v>
      </c>
      <c r="C66" s="117" t="b">
        <v>0</v>
      </c>
      <c r="D66" s="117" t="s">
        <v>182</v>
      </c>
      <c r="E66" s="117" t="s">
        <v>190</v>
      </c>
      <c r="F66" s="3" t="s">
        <v>205</v>
      </c>
      <c r="G66" s="110"/>
      <c r="H66" s="110">
        <v>0.67060358925528407</v>
      </c>
      <c r="I66" s="3" t="s">
        <v>201</v>
      </c>
      <c r="J66" s="3"/>
      <c r="K66" s="110"/>
      <c r="L66" s="3"/>
      <c r="M66" s="110"/>
    </row>
    <row r="67" spans="1:14" x14ac:dyDescent="0.35">
      <c r="A67" s="117" t="s">
        <v>180</v>
      </c>
      <c r="B67" s="117" t="s">
        <v>199</v>
      </c>
      <c r="C67" s="117" t="b">
        <v>1</v>
      </c>
      <c r="D67" s="117" t="s">
        <v>182</v>
      </c>
      <c r="E67" s="117" t="s">
        <v>190</v>
      </c>
      <c r="F67" s="3" t="s">
        <v>206</v>
      </c>
      <c r="G67" s="110"/>
      <c r="H67" s="110">
        <v>0.67060358925528407</v>
      </c>
      <c r="I67" s="3" t="s">
        <v>201</v>
      </c>
      <c r="J67" s="3"/>
      <c r="K67" s="110"/>
      <c r="L67" s="3"/>
      <c r="M67" s="110"/>
    </row>
    <row r="68" spans="1:14" x14ac:dyDescent="0.35">
      <c r="A68" s="117" t="s">
        <v>180</v>
      </c>
      <c r="B68" s="117" t="s">
        <v>199</v>
      </c>
      <c r="C68" s="117" t="b">
        <v>0</v>
      </c>
      <c r="D68" s="117" t="s">
        <v>193</v>
      </c>
      <c r="E68" s="117" t="s">
        <v>183</v>
      </c>
      <c r="F68" s="3" t="s">
        <v>207</v>
      </c>
      <c r="G68" s="110"/>
      <c r="H68" s="110">
        <v>0.16363478345314764</v>
      </c>
      <c r="I68" s="3" t="s">
        <v>208</v>
      </c>
      <c r="J68" s="3"/>
      <c r="K68" s="110">
        <v>0.69368928483812098</v>
      </c>
      <c r="L68" s="3"/>
      <c r="M68" s="110"/>
    </row>
    <row r="69" spans="1:14" x14ac:dyDescent="0.35">
      <c r="A69" s="117" t="s">
        <v>180</v>
      </c>
      <c r="B69" s="117" t="s">
        <v>199</v>
      </c>
      <c r="C69" s="117" t="b">
        <v>1</v>
      </c>
      <c r="D69" s="117" t="s">
        <v>193</v>
      </c>
      <c r="E69" s="117" t="s">
        <v>183</v>
      </c>
      <c r="F69" s="3" t="s">
        <v>209</v>
      </c>
      <c r="G69" s="110"/>
      <c r="H69" s="110">
        <v>0.16363478345314764</v>
      </c>
      <c r="I69" s="3" t="s">
        <v>208</v>
      </c>
      <c r="J69" s="3"/>
      <c r="K69" s="110"/>
      <c r="L69" s="3"/>
      <c r="M69" s="110"/>
    </row>
    <row r="70" spans="1:14" x14ac:dyDescent="0.35">
      <c r="A70" s="117" t="s">
        <v>180</v>
      </c>
      <c r="B70" s="117" t="s">
        <v>199</v>
      </c>
      <c r="C70" s="117" t="b">
        <v>1</v>
      </c>
      <c r="D70" s="117" t="s">
        <v>193</v>
      </c>
      <c r="E70" s="117" t="s">
        <v>187</v>
      </c>
      <c r="F70" s="3" t="s">
        <v>210</v>
      </c>
      <c r="G70" s="110"/>
      <c r="H70" s="110">
        <v>0.77781342630783745</v>
      </c>
      <c r="I70" s="3" t="s">
        <v>208</v>
      </c>
      <c r="J70" s="3"/>
      <c r="K70" s="110"/>
      <c r="L70" s="3"/>
      <c r="M70" s="110"/>
      <c r="N70" s="3"/>
    </row>
    <row r="71" spans="1:14" x14ac:dyDescent="0.35">
      <c r="A71" s="117" t="s">
        <v>180</v>
      </c>
      <c r="B71" s="117" t="s">
        <v>199</v>
      </c>
      <c r="C71" s="117" t="b">
        <v>0</v>
      </c>
      <c r="D71" s="117" t="s">
        <v>193</v>
      </c>
      <c r="E71" s="117" t="s">
        <v>190</v>
      </c>
      <c r="F71" s="3" t="s">
        <v>211</v>
      </c>
      <c r="G71" s="110"/>
      <c r="H71" s="110">
        <v>1.1396196447533777</v>
      </c>
      <c r="I71" s="3" t="s">
        <v>208</v>
      </c>
      <c r="J71" s="3"/>
      <c r="K71" s="110"/>
      <c r="L71" s="3"/>
      <c r="M71" s="110"/>
      <c r="N71" s="3"/>
    </row>
    <row r="72" spans="1:14" x14ac:dyDescent="0.35">
      <c r="A72" s="117" t="s">
        <v>180</v>
      </c>
      <c r="B72" s="117" t="s">
        <v>199</v>
      </c>
      <c r="C72" s="117" t="b">
        <v>1</v>
      </c>
      <c r="D72" s="117" t="s">
        <v>193</v>
      </c>
      <c r="E72" s="117" t="s">
        <v>190</v>
      </c>
      <c r="F72" s="3" t="s">
        <v>212</v>
      </c>
      <c r="G72" s="110"/>
      <c r="H72" s="110">
        <v>1.1396196447533777</v>
      </c>
      <c r="I72" s="3" t="s">
        <v>208</v>
      </c>
      <c r="J72" s="3"/>
      <c r="K72" s="110"/>
      <c r="L72" s="3"/>
      <c r="M72" s="110"/>
      <c r="N72" s="3"/>
    </row>
    <row r="73" spans="1:14" x14ac:dyDescent="0.35">
      <c r="A73" s="117" t="s">
        <v>180</v>
      </c>
      <c r="B73" s="117" t="s">
        <v>213</v>
      </c>
      <c r="C73" s="117" t="b">
        <v>0</v>
      </c>
      <c r="D73" s="117" t="s">
        <v>182</v>
      </c>
      <c r="E73" s="117" t="s">
        <v>183</v>
      </c>
      <c r="F73" s="3" t="s">
        <v>214</v>
      </c>
      <c r="G73" s="110"/>
      <c r="H73" s="110">
        <v>0.10375837995213028</v>
      </c>
      <c r="I73" s="3" t="s">
        <v>215</v>
      </c>
      <c r="J73" s="3"/>
      <c r="K73" s="110">
        <v>0.47701208867938188</v>
      </c>
      <c r="L73" s="3"/>
      <c r="M73" s="110">
        <v>0.3751922428463399</v>
      </c>
      <c r="N73" s="3"/>
    </row>
    <row r="74" spans="1:14" x14ac:dyDescent="0.35">
      <c r="A74" s="117" t="s">
        <v>180</v>
      </c>
      <c r="B74" s="117" t="s">
        <v>213</v>
      </c>
      <c r="C74" s="117" t="b">
        <v>1</v>
      </c>
      <c r="D74" s="117" t="s">
        <v>182</v>
      </c>
      <c r="E74" s="117" t="s">
        <v>183</v>
      </c>
      <c r="F74" s="3" t="s">
        <v>216</v>
      </c>
      <c r="G74" s="110"/>
      <c r="H74" s="110">
        <v>0.10375837995213028</v>
      </c>
      <c r="I74" s="3" t="s">
        <v>215</v>
      </c>
      <c r="J74" s="3"/>
      <c r="K74" s="110"/>
      <c r="L74" s="3"/>
      <c r="M74" s="110"/>
      <c r="N74" s="3"/>
    </row>
    <row r="75" spans="1:14" x14ac:dyDescent="0.35">
      <c r="A75" s="117" t="s">
        <v>180</v>
      </c>
      <c r="B75" s="117" t="s">
        <v>213</v>
      </c>
      <c r="C75" s="117" t="b">
        <v>0</v>
      </c>
      <c r="D75" s="117" t="s">
        <v>182</v>
      </c>
      <c r="E75" s="117" t="s">
        <v>187</v>
      </c>
      <c r="F75" s="3" t="s">
        <v>217</v>
      </c>
      <c r="G75" s="110"/>
      <c r="H75" s="110">
        <v>0.53003090001774023</v>
      </c>
      <c r="I75" s="3" t="s">
        <v>215</v>
      </c>
      <c r="J75" s="3"/>
      <c r="K75" s="110"/>
      <c r="L75" s="3"/>
      <c r="M75" s="110"/>
      <c r="N75" s="3"/>
    </row>
    <row r="76" spans="1:14" x14ac:dyDescent="0.35">
      <c r="A76" s="117" t="s">
        <v>180</v>
      </c>
      <c r="B76" s="117" t="s">
        <v>213</v>
      </c>
      <c r="C76" s="117" t="b">
        <v>1</v>
      </c>
      <c r="D76" s="117" t="s">
        <v>182</v>
      </c>
      <c r="E76" s="117" t="s">
        <v>187</v>
      </c>
      <c r="F76" s="3" t="s">
        <v>218</v>
      </c>
      <c r="G76" s="110"/>
      <c r="H76" s="110">
        <v>0.53003090001774023</v>
      </c>
      <c r="I76" s="3" t="s">
        <v>215</v>
      </c>
      <c r="J76" s="3"/>
      <c r="K76" s="110"/>
      <c r="L76" s="3"/>
      <c r="M76" s="110"/>
      <c r="N76" s="3"/>
    </row>
    <row r="77" spans="1:14" x14ac:dyDescent="0.35">
      <c r="A77" s="117" t="s">
        <v>180</v>
      </c>
      <c r="B77" s="117" t="s">
        <v>213</v>
      </c>
      <c r="C77" s="117" t="b">
        <v>0</v>
      </c>
      <c r="D77" s="117" t="s">
        <v>182</v>
      </c>
      <c r="E77" s="117" t="s">
        <v>190</v>
      </c>
      <c r="F77" s="3" t="s">
        <v>219</v>
      </c>
      <c r="G77" s="110"/>
      <c r="H77" s="110">
        <v>0.79724698606827527</v>
      </c>
      <c r="I77" s="3" t="s">
        <v>215</v>
      </c>
      <c r="J77" s="3"/>
      <c r="K77" s="110"/>
      <c r="L77" s="3"/>
      <c r="M77" s="110"/>
      <c r="N77" s="3"/>
    </row>
    <row r="78" spans="1:14" x14ac:dyDescent="0.35">
      <c r="A78" s="117" t="s">
        <v>180</v>
      </c>
      <c r="B78" s="117" t="s">
        <v>213</v>
      </c>
      <c r="C78" s="117" t="b">
        <v>1</v>
      </c>
      <c r="D78" s="117" t="s">
        <v>193</v>
      </c>
      <c r="E78" s="117" t="s">
        <v>183</v>
      </c>
      <c r="F78" s="3" t="s">
        <v>220</v>
      </c>
      <c r="G78" s="110"/>
      <c r="H78" s="110">
        <v>0.18632791107002292</v>
      </c>
      <c r="I78" s="3" t="s">
        <v>221</v>
      </c>
      <c r="J78" s="3"/>
      <c r="K78" s="110">
        <v>0.18632791107002292</v>
      </c>
      <c r="L78" s="3"/>
      <c r="M78" s="110"/>
      <c r="N78" s="3"/>
    </row>
    <row r="79" spans="1:14" x14ac:dyDescent="0.35">
      <c r="A79" s="117" t="s">
        <v>180</v>
      </c>
      <c r="B79" s="117" t="s">
        <v>222</v>
      </c>
      <c r="C79" s="117" t="b">
        <v>0</v>
      </c>
      <c r="D79" s="117" t="s">
        <v>182</v>
      </c>
      <c r="E79" s="117" t="s">
        <v>183</v>
      </c>
      <c r="F79" s="3" t="s">
        <v>223</v>
      </c>
      <c r="G79" s="110"/>
      <c r="H79" s="110">
        <v>0.12241210394459717</v>
      </c>
      <c r="I79" s="3" t="s">
        <v>224</v>
      </c>
      <c r="J79" s="3"/>
      <c r="K79" s="110">
        <v>0.51360242116144594</v>
      </c>
      <c r="L79" s="3"/>
      <c r="M79" s="110">
        <v>0.24483246011792784</v>
      </c>
      <c r="N79" s="3"/>
    </row>
    <row r="80" spans="1:14" x14ac:dyDescent="0.35">
      <c r="A80" s="117" t="s">
        <v>180</v>
      </c>
      <c r="B80" s="117" t="s">
        <v>222</v>
      </c>
      <c r="C80" s="117" t="b">
        <v>1</v>
      </c>
      <c r="D80" s="117" t="s">
        <v>182</v>
      </c>
      <c r="E80" s="117" t="s">
        <v>183</v>
      </c>
      <c r="F80" s="3" t="s">
        <v>225</v>
      </c>
      <c r="G80" s="110"/>
      <c r="H80" s="110">
        <v>0.12012205828950138</v>
      </c>
      <c r="I80" s="3" t="s">
        <v>224</v>
      </c>
      <c r="J80" s="3"/>
      <c r="K80" s="110"/>
      <c r="L80" s="3"/>
      <c r="M80" s="110"/>
      <c r="N80" s="3"/>
    </row>
    <row r="81" spans="1:14" x14ac:dyDescent="0.35">
      <c r="A81" s="117" t="s">
        <v>180</v>
      </c>
      <c r="B81" s="117" t="s">
        <v>222</v>
      </c>
      <c r="C81" s="117" t="b">
        <v>0</v>
      </c>
      <c r="D81" s="117" t="s">
        <v>182</v>
      </c>
      <c r="E81" s="117" t="s">
        <v>187</v>
      </c>
      <c r="F81" s="3" t="s">
        <v>226</v>
      </c>
      <c r="G81" s="110"/>
      <c r="H81" s="110">
        <v>0.57013221784710255</v>
      </c>
      <c r="I81" s="3" t="s">
        <v>224</v>
      </c>
      <c r="J81" s="3"/>
      <c r="K81" s="110"/>
      <c r="L81" s="3"/>
      <c r="M81" s="110"/>
      <c r="N81" s="3"/>
    </row>
    <row r="82" spans="1:14" x14ac:dyDescent="0.35">
      <c r="A82" s="117" t="s">
        <v>180</v>
      </c>
      <c r="B82" s="117" t="s">
        <v>222</v>
      </c>
      <c r="C82" s="117" t="b">
        <v>0</v>
      </c>
      <c r="D82" s="117" t="s">
        <v>193</v>
      </c>
      <c r="E82" s="117" t="s">
        <v>183</v>
      </c>
      <c r="F82" s="3" t="s">
        <v>227</v>
      </c>
      <c r="G82" s="110"/>
      <c r="H82" s="110">
        <v>0.20709740369414367</v>
      </c>
      <c r="I82" s="3" t="s">
        <v>228</v>
      </c>
      <c r="J82" s="3"/>
      <c r="K82" s="110">
        <v>0.20709740369414367</v>
      </c>
      <c r="L82" s="3"/>
      <c r="M82" s="110"/>
      <c r="N82" s="3"/>
    </row>
    <row r="83" spans="1:14" x14ac:dyDescent="0.35">
      <c r="A83" s="117" t="s">
        <v>180</v>
      </c>
      <c r="B83" s="117" t="s">
        <v>222</v>
      </c>
      <c r="C83" s="117" t="b">
        <v>1</v>
      </c>
      <c r="D83" s="117" t="s">
        <v>193</v>
      </c>
      <c r="E83" s="117" t="s">
        <v>183</v>
      </c>
      <c r="F83" s="3" t="s">
        <v>229</v>
      </c>
      <c r="G83" s="110"/>
      <c r="H83" s="110">
        <v>0.20439851681429441</v>
      </c>
      <c r="I83" s="3" t="s">
        <v>228</v>
      </c>
      <c r="J83" s="3"/>
      <c r="K83" s="110"/>
      <c r="L83" s="3"/>
      <c r="M83" s="110"/>
      <c r="N83" s="3"/>
    </row>
    <row r="84" spans="1:14" x14ac:dyDescent="0.35">
      <c r="A84" s="117" t="s">
        <v>180</v>
      </c>
      <c r="B84" s="117" t="s">
        <v>230</v>
      </c>
      <c r="C84" s="117" t="b">
        <v>0</v>
      </c>
      <c r="D84" s="117" t="s">
        <v>182</v>
      </c>
      <c r="E84" s="117" t="s">
        <v>183</v>
      </c>
      <c r="F84" s="3" t="s">
        <v>231</v>
      </c>
      <c r="G84" s="110"/>
      <c r="H84" s="110">
        <v>0.13657994517784605</v>
      </c>
      <c r="I84" s="3" t="s">
        <v>232</v>
      </c>
      <c r="J84" s="3"/>
      <c r="K84" s="110">
        <v>0.47097511502965733</v>
      </c>
      <c r="L84" s="3"/>
      <c r="M84" s="110">
        <v>0.50719371742761676</v>
      </c>
      <c r="N84" s="3"/>
    </row>
    <row r="85" spans="1:14" x14ac:dyDescent="0.35">
      <c r="A85" s="117" t="s">
        <v>180</v>
      </c>
      <c r="B85" s="117" t="s">
        <v>230</v>
      </c>
      <c r="C85" s="117" t="b">
        <v>1</v>
      </c>
      <c r="D85" s="117" t="s">
        <v>182</v>
      </c>
      <c r="E85" s="117" t="s">
        <v>183</v>
      </c>
      <c r="F85" s="3" t="s">
        <v>233</v>
      </c>
      <c r="G85" s="110"/>
      <c r="H85" s="110">
        <v>0.13367122956018268</v>
      </c>
      <c r="I85" s="3" t="s">
        <v>232</v>
      </c>
      <c r="J85" s="3"/>
      <c r="K85" s="110"/>
      <c r="L85" s="3"/>
      <c r="M85" s="110"/>
      <c r="N85" s="3"/>
    </row>
    <row r="86" spans="1:14" x14ac:dyDescent="0.35">
      <c r="A86" s="117" t="s">
        <v>180</v>
      </c>
      <c r="B86" s="117" t="s">
        <v>230</v>
      </c>
      <c r="C86" s="117" t="b">
        <v>0</v>
      </c>
      <c r="D86" s="117" t="s">
        <v>182</v>
      </c>
      <c r="E86" s="117" t="s">
        <v>187</v>
      </c>
      <c r="F86" s="3" t="s">
        <v>234</v>
      </c>
      <c r="G86" s="110"/>
      <c r="H86" s="110">
        <v>0.42810575095752934</v>
      </c>
      <c r="I86" s="3" t="s">
        <v>232</v>
      </c>
      <c r="J86" s="3"/>
      <c r="K86" s="110"/>
      <c r="L86" s="3"/>
      <c r="M86" s="110"/>
      <c r="N86" s="3"/>
    </row>
    <row r="87" spans="1:14" x14ac:dyDescent="0.35">
      <c r="A87" s="117" t="s">
        <v>180</v>
      </c>
      <c r="B87" s="117" t="s">
        <v>230</v>
      </c>
      <c r="C87" s="117" t="b">
        <v>1</v>
      </c>
      <c r="D87" s="117" t="s">
        <v>182</v>
      </c>
      <c r="E87" s="117" t="s">
        <v>187</v>
      </c>
      <c r="F87" s="3" t="s">
        <v>235</v>
      </c>
      <c r="G87" s="110"/>
      <c r="H87" s="110">
        <v>0.40888959396374486</v>
      </c>
      <c r="I87" s="3" t="s">
        <v>232</v>
      </c>
      <c r="J87" s="3"/>
      <c r="K87" s="110"/>
      <c r="L87" s="3"/>
      <c r="M87" s="110"/>
      <c r="N87" s="3"/>
    </row>
    <row r="88" spans="1:14" x14ac:dyDescent="0.35">
      <c r="A88" s="117" t="s">
        <v>180</v>
      </c>
      <c r="B88" s="117" t="s">
        <v>230</v>
      </c>
      <c r="C88" s="117" t="b">
        <v>1</v>
      </c>
      <c r="D88" s="117" t="s">
        <v>182</v>
      </c>
      <c r="E88" s="117" t="s">
        <v>190</v>
      </c>
      <c r="F88" s="3" t="s">
        <v>236</v>
      </c>
      <c r="G88" s="110"/>
      <c r="H88" s="110">
        <v>0.85114836457125986</v>
      </c>
      <c r="I88" s="3" t="s">
        <v>232</v>
      </c>
      <c r="J88" s="3"/>
      <c r="K88" s="110"/>
      <c r="L88" s="3"/>
      <c r="M88" s="110"/>
      <c r="N88" s="3"/>
    </row>
    <row r="89" spans="1:14" x14ac:dyDescent="0.35">
      <c r="A89" s="117" t="s">
        <v>180</v>
      </c>
      <c r="B89" s="117" t="s">
        <v>230</v>
      </c>
      <c r="C89" s="117" t="b">
        <v>1</v>
      </c>
      <c r="D89" s="117" t="s">
        <v>193</v>
      </c>
      <c r="E89" s="117" t="s">
        <v>183</v>
      </c>
      <c r="F89" s="3" t="s">
        <v>237</v>
      </c>
      <c r="G89" s="110"/>
      <c r="H89" s="110">
        <v>0.21136924365308013</v>
      </c>
      <c r="I89" s="3" t="s">
        <v>238</v>
      </c>
      <c r="J89" s="3"/>
      <c r="K89" s="110">
        <v>0.79598056888137714</v>
      </c>
      <c r="L89" s="3"/>
      <c r="M89" s="110"/>
      <c r="N89" s="3"/>
    </row>
    <row r="90" spans="1:14" x14ac:dyDescent="0.35">
      <c r="A90" s="117" t="s">
        <v>180</v>
      </c>
      <c r="B90" s="117" t="s">
        <v>230</v>
      </c>
      <c r="C90" s="117" t="b">
        <v>1</v>
      </c>
      <c r="D90" s="117" t="s">
        <v>193</v>
      </c>
      <c r="E90" s="117" t="s">
        <v>190</v>
      </c>
      <c r="F90" s="3" t="s">
        <v>239</v>
      </c>
      <c r="G90" s="110"/>
      <c r="H90" s="110">
        <v>1.3805918941096742</v>
      </c>
      <c r="I90" s="3" t="s">
        <v>238</v>
      </c>
      <c r="J90" s="3"/>
      <c r="K90" s="110"/>
      <c r="L90" s="3"/>
      <c r="M90" s="110"/>
      <c r="N90" s="3"/>
    </row>
    <row r="91" spans="1:14" x14ac:dyDescent="0.35">
      <c r="A91" s="117" t="s">
        <v>180</v>
      </c>
      <c r="B91" s="117" t="s">
        <v>240</v>
      </c>
      <c r="C91" s="117" t="b">
        <v>0</v>
      </c>
      <c r="D91" s="117" t="s">
        <v>182</v>
      </c>
      <c r="E91" s="117" t="s">
        <v>183</v>
      </c>
      <c r="F91" s="3" t="s">
        <v>241</v>
      </c>
      <c r="G91" s="110"/>
      <c r="H91" s="110">
        <v>0.11393038762547736</v>
      </c>
      <c r="I91" s="3" t="s">
        <v>242</v>
      </c>
      <c r="J91" s="3"/>
      <c r="K91" s="110">
        <v>0.42897976512350122</v>
      </c>
      <c r="L91" s="3"/>
      <c r="M91" s="110">
        <v>0.43468153865234316</v>
      </c>
      <c r="N91" s="3"/>
    </row>
    <row r="92" spans="1:14" x14ac:dyDescent="0.35">
      <c r="A92" s="117" t="s">
        <v>180</v>
      </c>
      <c r="B92" s="117" t="s">
        <v>240</v>
      </c>
      <c r="C92" s="117" t="b">
        <v>1</v>
      </c>
      <c r="D92" s="117" t="s">
        <v>182</v>
      </c>
      <c r="E92" s="117" t="s">
        <v>183</v>
      </c>
      <c r="F92" s="3" t="s">
        <v>243</v>
      </c>
      <c r="G92" s="110"/>
      <c r="H92" s="110">
        <v>0.11305257873458574</v>
      </c>
      <c r="I92" s="3" t="s">
        <v>242</v>
      </c>
      <c r="J92" s="3"/>
      <c r="K92" s="110"/>
      <c r="L92" s="3"/>
      <c r="M92" s="110"/>
      <c r="N92" s="3"/>
    </row>
    <row r="93" spans="1:14" x14ac:dyDescent="0.35">
      <c r="A93" s="117" t="s">
        <v>180</v>
      </c>
      <c r="B93" s="117" t="s">
        <v>240</v>
      </c>
      <c r="C93" s="117" t="b">
        <v>0</v>
      </c>
      <c r="D93" s="117" t="s">
        <v>182</v>
      </c>
      <c r="E93" s="117" t="s">
        <v>187</v>
      </c>
      <c r="F93" s="3" t="s">
        <v>244</v>
      </c>
      <c r="G93" s="110"/>
      <c r="H93" s="110">
        <v>0.26077853172897664</v>
      </c>
      <c r="I93" s="3" t="s">
        <v>242</v>
      </c>
      <c r="J93" s="3"/>
      <c r="K93" s="110"/>
      <c r="L93" s="3"/>
      <c r="M93" s="110"/>
      <c r="N93" s="3"/>
    </row>
    <row r="94" spans="1:14" x14ac:dyDescent="0.35">
      <c r="A94" s="117" t="s">
        <v>180</v>
      </c>
      <c r="B94" s="117" t="s">
        <v>240</v>
      </c>
      <c r="C94" s="117" t="b">
        <v>1</v>
      </c>
      <c r="D94" s="117" t="s">
        <v>182</v>
      </c>
      <c r="E94" s="117" t="s">
        <v>187</v>
      </c>
      <c r="F94" s="3" t="s">
        <v>245</v>
      </c>
      <c r="G94" s="110"/>
      <c r="H94" s="110">
        <v>0.25953093319681675</v>
      </c>
      <c r="I94" s="3" t="s">
        <v>242</v>
      </c>
      <c r="J94" s="3"/>
      <c r="K94" s="110"/>
      <c r="L94" s="3"/>
      <c r="M94" s="110"/>
      <c r="N94" s="3"/>
    </row>
    <row r="95" spans="1:14" x14ac:dyDescent="0.35">
      <c r="A95" s="117" t="s">
        <v>180</v>
      </c>
      <c r="B95" s="117" t="s">
        <v>240</v>
      </c>
      <c r="C95" s="117" t="b">
        <v>0</v>
      </c>
      <c r="D95" s="117" t="s">
        <v>182</v>
      </c>
      <c r="E95" s="117" t="s">
        <v>190</v>
      </c>
      <c r="F95" s="3" t="s">
        <v>246</v>
      </c>
      <c r="G95" s="110"/>
      <c r="H95" s="110">
        <v>0.91347797454820956</v>
      </c>
      <c r="I95" s="3" t="s">
        <v>242</v>
      </c>
      <c r="J95" s="3"/>
      <c r="K95" s="110"/>
      <c r="L95" s="3"/>
      <c r="M95" s="110"/>
      <c r="N95" s="3"/>
    </row>
    <row r="96" spans="1:14" x14ac:dyDescent="0.35">
      <c r="A96" s="117" t="s">
        <v>180</v>
      </c>
      <c r="B96" s="117" t="s">
        <v>240</v>
      </c>
      <c r="C96" s="117" t="b">
        <v>0</v>
      </c>
      <c r="D96" s="117" t="s">
        <v>193</v>
      </c>
      <c r="E96" s="117" t="s">
        <v>183</v>
      </c>
      <c r="F96" s="3" t="s">
        <v>247</v>
      </c>
      <c r="G96" s="110"/>
      <c r="H96" s="110">
        <v>0.17511185993932585</v>
      </c>
      <c r="I96" s="3" t="s">
        <v>248</v>
      </c>
      <c r="J96" s="3"/>
      <c r="K96" s="110">
        <v>0.82078502172267664</v>
      </c>
      <c r="L96" s="3"/>
      <c r="M96" s="110"/>
      <c r="N96" s="3"/>
    </row>
    <row r="97" spans="1:14" x14ac:dyDescent="0.35">
      <c r="A97" s="117" t="s">
        <v>180</v>
      </c>
      <c r="B97" s="117" t="s">
        <v>240</v>
      </c>
      <c r="C97" s="117" t="b">
        <v>1</v>
      </c>
      <c r="D97" s="117" t="s">
        <v>193</v>
      </c>
      <c r="E97" s="117" t="s">
        <v>183</v>
      </c>
      <c r="F97" s="3" t="s">
        <v>249</v>
      </c>
      <c r="G97" s="110"/>
      <c r="H97" s="110">
        <v>0.17399310150958103</v>
      </c>
      <c r="I97" s="3" t="s">
        <v>248</v>
      </c>
      <c r="J97" s="3"/>
      <c r="K97" s="110"/>
      <c r="L97" s="3"/>
      <c r="M97" s="110"/>
      <c r="N97" s="3"/>
    </row>
    <row r="98" spans="1:14" x14ac:dyDescent="0.35">
      <c r="A98" s="117" t="s">
        <v>180</v>
      </c>
      <c r="B98" s="117" t="s">
        <v>240</v>
      </c>
      <c r="C98" s="117" t="b">
        <v>0</v>
      </c>
      <c r="D98" s="117" t="s">
        <v>193</v>
      </c>
      <c r="E98" s="117" t="s">
        <v>190</v>
      </c>
      <c r="F98" s="3" t="s">
        <v>250</v>
      </c>
      <c r="G98" s="110"/>
      <c r="H98" s="110">
        <v>1.4675769419357723</v>
      </c>
      <c r="I98" s="3" t="s">
        <v>248</v>
      </c>
      <c r="J98" s="3"/>
      <c r="K98" s="110"/>
      <c r="L98" s="3"/>
      <c r="M98" s="110"/>
      <c r="N98" s="3"/>
    </row>
    <row r="99" spans="1:14" x14ac:dyDescent="0.35">
      <c r="A99" s="117" t="s">
        <v>180</v>
      </c>
      <c r="B99" s="117" t="s">
        <v>251</v>
      </c>
      <c r="C99" s="117" t="b">
        <v>0</v>
      </c>
      <c r="D99" s="117" t="s">
        <v>182</v>
      </c>
      <c r="E99" s="117" t="s">
        <v>183</v>
      </c>
      <c r="F99" s="3" t="s">
        <v>252</v>
      </c>
      <c r="G99" s="110"/>
      <c r="H99" s="110">
        <v>7.1896929003538571E-2</v>
      </c>
      <c r="I99" s="3" t="s">
        <v>253</v>
      </c>
      <c r="J99" s="3"/>
      <c r="K99" s="110">
        <v>0.22284713319178073</v>
      </c>
      <c r="L99" s="3"/>
      <c r="M99" s="110">
        <v>0.25662107261826994</v>
      </c>
      <c r="N99" s="3"/>
    </row>
    <row r="100" spans="1:14" x14ac:dyDescent="0.35">
      <c r="A100" s="117" t="s">
        <v>180</v>
      </c>
      <c r="B100" s="117" t="s">
        <v>251</v>
      </c>
      <c r="C100" s="117" t="b">
        <v>1</v>
      </c>
      <c r="D100" s="117" t="s">
        <v>182</v>
      </c>
      <c r="E100" s="117" t="s">
        <v>183</v>
      </c>
      <c r="F100" s="3" t="s">
        <v>254</v>
      </c>
      <c r="G100" s="110"/>
      <c r="H100" s="110">
        <v>7.1896770606270199E-2</v>
      </c>
      <c r="I100" s="3" t="s">
        <v>253</v>
      </c>
      <c r="J100" s="3"/>
      <c r="K100" s="110"/>
      <c r="L100" s="3"/>
      <c r="M100" s="110"/>
      <c r="N100" s="3"/>
    </row>
    <row r="101" spans="1:14" x14ac:dyDescent="0.35">
      <c r="A101" s="117" t="s">
        <v>180</v>
      </c>
      <c r="B101" s="117" t="s">
        <v>251</v>
      </c>
      <c r="C101" s="117" t="b">
        <v>0</v>
      </c>
      <c r="D101" s="117" t="s">
        <v>182</v>
      </c>
      <c r="E101" s="117" t="s">
        <v>187</v>
      </c>
      <c r="F101" s="3" t="s">
        <v>255</v>
      </c>
      <c r="G101" s="110"/>
      <c r="H101" s="110">
        <v>0.12145486570004119</v>
      </c>
      <c r="I101" s="3" t="s">
        <v>253</v>
      </c>
      <c r="J101" s="3"/>
      <c r="K101" s="110"/>
      <c r="L101" s="3"/>
      <c r="M101" s="110"/>
      <c r="N101" s="3"/>
    </row>
    <row r="102" spans="1:14" x14ac:dyDescent="0.35">
      <c r="A102" s="117" t="s">
        <v>180</v>
      </c>
      <c r="B102" s="117" t="s">
        <v>251</v>
      </c>
      <c r="C102" s="117" t="b">
        <v>1</v>
      </c>
      <c r="D102" s="117" t="s">
        <v>182</v>
      </c>
      <c r="E102" s="117" t="s">
        <v>187</v>
      </c>
      <c r="F102" s="3" t="s">
        <v>256</v>
      </c>
      <c r="G102" s="110"/>
      <c r="H102" s="110">
        <v>0.12145466918083711</v>
      </c>
      <c r="I102" s="3" t="s">
        <v>253</v>
      </c>
      <c r="J102" s="3"/>
      <c r="K102" s="110"/>
      <c r="L102" s="3"/>
      <c r="M102" s="110"/>
      <c r="N102" s="3"/>
    </row>
    <row r="103" spans="1:14" x14ac:dyDescent="0.35">
      <c r="A103" s="117" t="s">
        <v>180</v>
      </c>
      <c r="B103" s="117" t="s">
        <v>251</v>
      </c>
      <c r="C103" s="117" t="b">
        <v>0</v>
      </c>
      <c r="D103" s="117" t="s">
        <v>182</v>
      </c>
      <c r="E103" s="117" t="s">
        <v>190</v>
      </c>
      <c r="F103" s="3" t="s">
        <v>257</v>
      </c>
      <c r="G103" s="110"/>
      <c r="H103" s="110">
        <v>0.47518980139096645</v>
      </c>
      <c r="I103" s="3" t="s">
        <v>253</v>
      </c>
      <c r="J103" s="3"/>
      <c r="K103" s="110"/>
      <c r="L103" s="3"/>
      <c r="M103" s="110"/>
      <c r="N103" s="3"/>
    </row>
    <row r="104" spans="1:14" x14ac:dyDescent="0.35">
      <c r="A104" s="117" t="s">
        <v>180</v>
      </c>
      <c r="B104" s="117" t="s">
        <v>251</v>
      </c>
      <c r="C104" s="117" t="b">
        <v>1</v>
      </c>
      <c r="D104" s="117" t="s">
        <v>182</v>
      </c>
      <c r="E104" s="117" t="s">
        <v>190</v>
      </c>
      <c r="F104" s="3" t="s">
        <v>258</v>
      </c>
      <c r="G104" s="110"/>
      <c r="H104" s="110">
        <v>0.47516358666586633</v>
      </c>
      <c r="I104" s="3" t="s">
        <v>253</v>
      </c>
      <c r="J104" s="3"/>
      <c r="K104" s="110"/>
      <c r="L104" s="3"/>
      <c r="M104" s="110"/>
      <c r="N104" s="3"/>
    </row>
    <row r="105" spans="1:14" x14ac:dyDescent="0.35">
      <c r="A105" s="117" t="s">
        <v>180</v>
      </c>
      <c r="B105" s="117" t="s">
        <v>251</v>
      </c>
      <c r="C105" s="117" t="b">
        <v>0</v>
      </c>
      <c r="D105" s="117" t="s">
        <v>193</v>
      </c>
      <c r="E105" s="117" t="s">
        <v>183</v>
      </c>
      <c r="F105" s="3" t="s">
        <v>259</v>
      </c>
      <c r="G105" s="110"/>
      <c r="H105" s="110">
        <v>0.11777783369491578</v>
      </c>
      <c r="I105" s="3" t="s">
        <v>260</v>
      </c>
      <c r="J105" s="3"/>
      <c r="K105" s="110">
        <v>0.38420491228099035</v>
      </c>
      <c r="L105" s="3"/>
      <c r="M105" s="110"/>
      <c r="N105" s="3"/>
    </row>
    <row r="106" spans="1:14" x14ac:dyDescent="0.35">
      <c r="A106" s="117" t="s">
        <v>180</v>
      </c>
      <c r="B106" s="117" t="s">
        <v>251</v>
      </c>
      <c r="C106" s="117" t="b">
        <v>1</v>
      </c>
      <c r="D106" s="117" t="s">
        <v>193</v>
      </c>
      <c r="E106" s="117" t="s">
        <v>183</v>
      </c>
      <c r="F106" s="3" t="s">
        <v>261</v>
      </c>
      <c r="G106" s="110"/>
      <c r="H106" s="110">
        <v>0.11777763143720793</v>
      </c>
      <c r="I106" s="3" t="s">
        <v>260</v>
      </c>
      <c r="J106" s="3"/>
      <c r="K106" s="110"/>
      <c r="L106" s="3"/>
      <c r="M106" s="110"/>
      <c r="N106" s="3"/>
    </row>
    <row r="107" spans="1:14" x14ac:dyDescent="0.35">
      <c r="A107" s="117" t="s">
        <v>180</v>
      </c>
      <c r="B107" s="117" t="s">
        <v>251</v>
      </c>
      <c r="C107" s="117" t="b">
        <v>0</v>
      </c>
      <c r="D107" s="117" t="s">
        <v>193</v>
      </c>
      <c r="E107" s="117" t="s">
        <v>187</v>
      </c>
      <c r="F107" s="3" t="s">
        <v>262</v>
      </c>
      <c r="G107" s="110"/>
      <c r="H107" s="110">
        <v>0.21538280797327078</v>
      </c>
      <c r="I107" s="3" t="s">
        <v>260</v>
      </c>
      <c r="J107" s="3"/>
      <c r="K107" s="110"/>
      <c r="L107" s="3"/>
      <c r="M107" s="110"/>
      <c r="N107" s="3"/>
    </row>
    <row r="108" spans="1:14" x14ac:dyDescent="0.35">
      <c r="A108" s="117" t="s">
        <v>180</v>
      </c>
      <c r="B108" s="117" t="s">
        <v>251</v>
      </c>
      <c r="C108" s="117" t="b">
        <v>1</v>
      </c>
      <c r="D108" s="117" t="s">
        <v>193</v>
      </c>
      <c r="E108" s="117" t="s">
        <v>187</v>
      </c>
      <c r="F108" s="3" t="s">
        <v>263</v>
      </c>
      <c r="G108" s="110"/>
      <c r="H108" s="110">
        <v>0.2153825488373492</v>
      </c>
      <c r="I108" s="3" t="s">
        <v>260</v>
      </c>
      <c r="J108" s="3"/>
      <c r="K108" s="110"/>
      <c r="L108" s="3"/>
      <c r="M108" s="110"/>
      <c r="N108" s="3"/>
    </row>
    <row r="109" spans="1:14" x14ac:dyDescent="0.35">
      <c r="A109" s="117" t="s">
        <v>180</v>
      </c>
      <c r="B109" s="117" t="s">
        <v>251</v>
      </c>
      <c r="C109" s="117" t="b">
        <v>0</v>
      </c>
      <c r="D109" s="117" t="s">
        <v>193</v>
      </c>
      <c r="E109" s="117" t="s">
        <v>190</v>
      </c>
      <c r="F109" s="3" t="s">
        <v>264</v>
      </c>
      <c r="G109" s="110"/>
      <c r="H109" s="110">
        <v>0.81945435431070623</v>
      </c>
      <c r="I109" s="3" t="s">
        <v>260</v>
      </c>
      <c r="J109" s="3"/>
      <c r="K109" s="110"/>
      <c r="L109" s="3"/>
      <c r="M109" s="110"/>
      <c r="N109" s="3"/>
    </row>
    <row r="110" spans="1:14" x14ac:dyDescent="0.35">
      <c r="A110" s="117" t="s">
        <v>180</v>
      </c>
      <c r="B110" s="117" t="s">
        <v>265</v>
      </c>
      <c r="C110" s="117" t="b">
        <v>0</v>
      </c>
      <c r="D110" s="117" t="s">
        <v>182</v>
      </c>
      <c r="E110" s="117" t="s">
        <v>183</v>
      </c>
      <c r="F110" s="3" t="s">
        <v>266</v>
      </c>
      <c r="G110" s="110"/>
      <c r="H110" s="110">
        <v>0.10246250653378378</v>
      </c>
      <c r="I110" s="3" t="s">
        <v>267</v>
      </c>
      <c r="J110" s="3"/>
      <c r="K110" s="110">
        <v>0.42240315089437691</v>
      </c>
      <c r="L110" s="3"/>
      <c r="M110" s="110">
        <v>0.52510454631530656</v>
      </c>
      <c r="N110" s="3"/>
    </row>
    <row r="111" spans="1:14" x14ac:dyDescent="0.35">
      <c r="A111" s="117" t="s">
        <v>180</v>
      </c>
      <c r="B111" s="117" t="s">
        <v>265</v>
      </c>
      <c r="C111" s="117" t="b">
        <v>1</v>
      </c>
      <c r="D111" s="117" t="s">
        <v>182</v>
      </c>
      <c r="E111" s="117" t="s">
        <v>183</v>
      </c>
      <c r="F111" s="3" t="s">
        <v>268</v>
      </c>
      <c r="G111" s="110"/>
      <c r="H111" s="110">
        <v>0.10225131316035546</v>
      </c>
      <c r="I111" s="3" t="s">
        <v>267</v>
      </c>
      <c r="J111" s="3"/>
      <c r="K111" s="110"/>
      <c r="L111" s="110"/>
      <c r="M111" s="110"/>
      <c r="N111" s="3"/>
    </row>
    <row r="112" spans="1:14" x14ac:dyDescent="0.35">
      <c r="A112" s="117" t="s">
        <v>180</v>
      </c>
      <c r="B112" s="117" t="s">
        <v>265</v>
      </c>
      <c r="C112" s="117" t="b">
        <v>0</v>
      </c>
      <c r="D112" s="117" t="s">
        <v>182</v>
      </c>
      <c r="E112" s="117" t="s">
        <v>187</v>
      </c>
      <c r="F112" s="3" t="s">
        <v>269</v>
      </c>
      <c r="G112" s="110"/>
      <c r="H112" s="110">
        <v>0.40659407920963725</v>
      </c>
      <c r="I112" s="3" t="s">
        <v>267</v>
      </c>
      <c r="J112" s="3"/>
      <c r="K112" s="110"/>
      <c r="L112" s="110"/>
      <c r="M112" s="110"/>
      <c r="N112" s="3"/>
    </row>
    <row r="113" spans="1:14" x14ac:dyDescent="0.35">
      <c r="A113" s="117" t="s">
        <v>180</v>
      </c>
      <c r="B113" s="117" t="s">
        <v>265</v>
      </c>
      <c r="C113" s="117" t="b">
        <v>1</v>
      </c>
      <c r="D113" s="117" t="s">
        <v>182</v>
      </c>
      <c r="E113" s="117" t="s">
        <v>187</v>
      </c>
      <c r="F113" s="3" t="s">
        <v>270</v>
      </c>
      <c r="G113" s="110"/>
      <c r="H113" s="110">
        <v>0.40507898825840866</v>
      </c>
      <c r="I113" s="3" t="s">
        <v>267</v>
      </c>
      <c r="J113" s="3"/>
      <c r="K113" s="110"/>
      <c r="L113" s="110"/>
      <c r="M113" s="110"/>
      <c r="N113" s="3"/>
    </row>
    <row r="114" spans="1:14" x14ac:dyDescent="0.35">
      <c r="A114" s="117" t="s">
        <v>180</v>
      </c>
      <c r="B114" s="117" t="s">
        <v>265</v>
      </c>
      <c r="C114" s="117" t="b">
        <v>0</v>
      </c>
      <c r="D114" s="117" t="s">
        <v>182</v>
      </c>
      <c r="E114" s="117" t="s">
        <v>190</v>
      </c>
      <c r="F114" s="3" t="s">
        <v>271</v>
      </c>
      <c r="G114" s="110"/>
      <c r="H114" s="110">
        <v>0.75966795789093833</v>
      </c>
      <c r="I114" s="3" t="s">
        <v>267</v>
      </c>
      <c r="J114" s="3"/>
      <c r="K114" s="110"/>
      <c r="L114" s="110"/>
      <c r="M114" s="110"/>
      <c r="N114" s="3"/>
    </row>
    <row r="115" spans="1:14" x14ac:dyDescent="0.35">
      <c r="A115" s="117" t="s">
        <v>180</v>
      </c>
      <c r="B115" s="117" t="s">
        <v>265</v>
      </c>
      <c r="C115" s="117" t="b">
        <v>1</v>
      </c>
      <c r="D115" s="117" t="s">
        <v>182</v>
      </c>
      <c r="E115" s="117" t="s">
        <v>190</v>
      </c>
      <c r="F115" s="3" t="s">
        <v>272</v>
      </c>
      <c r="G115" s="110"/>
      <c r="H115" s="110">
        <v>0.75645326988009232</v>
      </c>
      <c r="I115" s="3" t="s">
        <v>267</v>
      </c>
      <c r="J115" s="3"/>
      <c r="K115" s="110"/>
      <c r="L115" s="110"/>
      <c r="M115" s="110"/>
      <c r="N115" s="3"/>
    </row>
    <row r="116" spans="1:14" x14ac:dyDescent="0.35">
      <c r="A116" s="117" t="s">
        <v>180</v>
      </c>
      <c r="B116" s="117" t="s">
        <v>265</v>
      </c>
      <c r="C116" s="117" t="b">
        <v>1</v>
      </c>
      <c r="D116" s="117" t="s">
        <v>193</v>
      </c>
      <c r="E116" s="117" t="s">
        <v>183</v>
      </c>
      <c r="F116" s="3" t="s">
        <v>273</v>
      </c>
      <c r="G116" s="110"/>
      <c r="H116" s="110">
        <v>0.17432621292836464</v>
      </c>
      <c r="I116" s="3" t="s">
        <v>274</v>
      </c>
      <c r="J116" s="3"/>
      <c r="K116" s="110">
        <v>0.73114426730151427</v>
      </c>
      <c r="L116" s="110"/>
      <c r="M116" s="110"/>
      <c r="N116" s="3"/>
    </row>
    <row r="117" spans="1:14" x14ac:dyDescent="0.35">
      <c r="A117" s="117" t="s">
        <v>180</v>
      </c>
      <c r="B117" s="117" t="s">
        <v>265</v>
      </c>
      <c r="C117" s="117" t="b">
        <v>1</v>
      </c>
      <c r="D117" s="117" t="s">
        <v>193</v>
      </c>
      <c r="E117" s="117" t="s">
        <v>187</v>
      </c>
      <c r="F117" s="3" t="s">
        <v>275</v>
      </c>
      <c r="G117" s="110"/>
      <c r="H117" s="110">
        <v>0.76140399368276035</v>
      </c>
      <c r="I117" s="3" t="s">
        <v>274</v>
      </c>
      <c r="J117" s="110"/>
      <c r="K117" s="110"/>
      <c r="L117" s="110"/>
      <c r="M117" s="110"/>
      <c r="N117" s="3"/>
    </row>
    <row r="118" spans="1:14" x14ac:dyDescent="0.35">
      <c r="A118" s="117" t="s">
        <v>180</v>
      </c>
      <c r="B118" s="117" t="s">
        <v>265</v>
      </c>
      <c r="C118" s="117" t="b">
        <v>0</v>
      </c>
      <c r="D118" s="117" t="s">
        <v>193</v>
      </c>
      <c r="E118" s="117" t="s">
        <v>190</v>
      </c>
      <c r="F118" s="3" t="s">
        <v>276</v>
      </c>
      <c r="G118" s="110"/>
      <c r="H118" s="110">
        <v>1.257702595293418</v>
      </c>
      <c r="I118" s="3" t="s">
        <v>274</v>
      </c>
      <c r="J118" s="110"/>
      <c r="K118" s="110"/>
      <c r="L118" s="110"/>
      <c r="M118" s="110"/>
      <c r="N118" s="3"/>
    </row>
    <row r="119" spans="1:14" x14ac:dyDescent="0.35">
      <c r="A119" s="117" t="s">
        <v>180</v>
      </c>
      <c r="B119" s="117" t="s">
        <v>181</v>
      </c>
      <c r="C119" s="117" t="b">
        <v>0</v>
      </c>
      <c r="D119" s="117" t="s">
        <v>182</v>
      </c>
      <c r="E119" s="117" t="s">
        <v>183</v>
      </c>
      <c r="F119" s="3" t="s">
        <v>277</v>
      </c>
      <c r="G119" s="110"/>
      <c r="H119" s="110">
        <v>0.12117136352806376</v>
      </c>
      <c r="I119" s="3"/>
      <c r="J119" s="110"/>
      <c r="K119" s="110"/>
      <c r="L119" s="110"/>
      <c r="M119" s="110"/>
      <c r="N119" s="3"/>
    </row>
    <row r="120" spans="1:14" x14ac:dyDescent="0.35">
      <c r="A120" s="117" t="s">
        <v>180</v>
      </c>
      <c r="B120" s="117" t="s">
        <v>181</v>
      </c>
      <c r="C120" s="117" t="b">
        <v>1</v>
      </c>
      <c r="D120" s="117" t="s">
        <v>182</v>
      </c>
      <c r="E120" s="117" t="s">
        <v>183</v>
      </c>
      <c r="F120" s="3" t="s">
        <v>278</v>
      </c>
      <c r="G120" s="110"/>
      <c r="H120" s="110">
        <v>0.12116397632200343</v>
      </c>
      <c r="I120" s="3"/>
      <c r="J120" s="110"/>
      <c r="K120" s="110"/>
      <c r="L120" s="110"/>
      <c r="M120" s="110"/>
      <c r="N120" s="3"/>
    </row>
    <row r="121" spans="1:14" x14ac:dyDescent="0.35">
      <c r="A121" s="117" t="s">
        <v>180</v>
      </c>
      <c r="B121" s="117" t="s">
        <v>181</v>
      </c>
      <c r="C121" s="117" t="b">
        <v>0</v>
      </c>
      <c r="D121" s="117" t="s">
        <v>182</v>
      </c>
      <c r="E121" s="117" t="s">
        <v>187</v>
      </c>
      <c r="F121" s="3" t="s">
        <v>279</v>
      </c>
      <c r="G121" s="110"/>
      <c r="H121" s="110">
        <v>0.6603716901558343</v>
      </c>
      <c r="I121" s="3"/>
      <c r="J121" s="110"/>
      <c r="K121" s="110"/>
      <c r="L121" s="110"/>
      <c r="M121" s="110"/>
      <c r="N121" s="3"/>
    </row>
    <row r="122" spans="1:14" x14ac:dyDescent="0.35">
      <c r="A122" s="117" t="s">
        <v>180</v>
      </c>
      <c r="B122" s="117" t="s">
        <v>181</v>
      </c>
      <c r="C122" s="117" t="b">
        <v>1</v>
      </c>
      <c r="D122" s="117" t="s">
        <v>182</v>
      </c>
      <c r="E122" s="117" t="s">
        <v>187</v>
      </c>
      <c r="F122" s="3" t="s">
        <v>280</v>
      </c>
      <c r="G122" s="110"/>
      <c r="H122" s="110">
        <v>0.66031509413521206</v>
      </c>
      <c r="I122" s="3"/>
      <c r="J122" s="110"/>
      <c r="K122" s="110"/>
      <c r="L122" s="110"/>
      <c r="M122" s="110"/>
      <c r="N122" s="3"/>
    </row>
    <row r="123" spans="1:14" x14ac:dyDescent="0.35">
      <c r="A123" s="117" t="s">
        <v>180</v>
      </c>
      <c r="B123" s="117" t="s">
        <v>181</v>
      </c>
      <c r="C123" s="117" t="b">
        <v>0</v>
      </c>
      <c r="D123" s="117" t="s">
        <v>182</v>
      </c>
      <c r="E123" s="117" t="s">
        <v>190</v>
      </c>
      <c r="F123" s="3" t="s">
        <v>281</v>
      </c>
      <c r="G123" s="110"/>
      <c r="H123" s="110">
        <v>0.91992208706422707</v>
      </c>
      <c r="I123" s="3"/>
      <c r="J123" s="110"/>
      <c r="K123" s="110"/>
      <c r="L123" s="110"/>
      <c r="M123" s="110"/>
      <c r="N123" s="3"/>
    </row>
    <row r="124" spans="1:14" x14ac:dyDescent="0.35">
      <c r="A124" s="117" t="s">
        <v>180</v>
      </c>
      <c r="B124" s="117" t="s">
        <v>181</v>
      </c>
      <c r="C124" s="117" t="b">
        <v>1</v>
      </c>
      <c r="D124" s="117" t="s">
        <v>182</v>
      </c>
      <c r="E124" s="117" t="s">
        <v>190</v>
      </c>
      <c r="F124" s="3" t="s">
        <v>282</v>
      </c>
      <c r="G124" s="110"/>
      <c r="H124" s="110">
        <v>0.91979676290903711</v>
      </c>
      <c r="I124" s="3"/>
      <c r="J124" s="110"/>
      <c r="K124" s="110"/>
      <c r="L124" s="110"/>
      <c r="M124" s="110"/>
      <c r="N124" s="3"/>
    </row>
    <row r="125" spans="1:14" x14ac:dyDescent="0.35">
      <c r="A125" s="117" t="s">
        <v>180</v>
      </c>
      <c r="B125" s="117" t="s">
        <v>181</v>
      </c>
      <c r="C125" s="117" t="b">
        <v>0</v>
      </c>
      <c r="D125" s="117" t="s">
        <v>193</v>
      </c>
      <c r="E125" s="117" t="s">
        <v>183</v>
      </c>
      <c r="F125" s="3" t="s">
        <v>283</v>
      </c>
      <c r="G125" s="110"/>
      <c r="H125" s="110">
        <v>0.21233360153397554</v>
      </c>
      <c r="I125" s="3"/>
      <c r="J125" s="110"/>
      <c r="K125" s="110"/>
      <c r="L125" s="110"/>
      <c r="M125" s="110"/>
      <c r="N125" s="3"/>
    </row>
    <row r="126" spans="1:14" x14ac:dyDescent="0.35">
      <c r="A126" s="117" t="s">
        <v>180</v>
      </c>
      <c r="B126" s="117" t="s">
        <v>181</v>
      </c>
      <c r="C126" s="117" t="b">
        <v>1</v>
      </c>
      <c r="D126" s="117" t="s">
        <v>193</v>
      </c>
      <c r="E126" s="117" t="s">
        <v>183</v>
      </c>
      <c r="F126" s="3" t="s">
        <v>284</v>
      </c>
      <c r="G126" s="110"/>
      <c r="H126" s="110">
        <v>0.21232468486135997</v>
      </c>
      <c r="I126" s="3"/>
      <c r="J126" s="110"/>
      <c r="K126" s="110"/>
      <c r="L126" s="110"/>
      <c r="M126" s="110"/>
      <c r="N126" s="3"/>
    </row>
    <row r="127" spans="1:14" x14ac:dyDescent="0.35">
      <c r="A127" s="117" t="s">
        <v>180</v>
      </c>
      <c r="B127" s="117" t="s">
        <v>181</v>
      </c>
      <c r="C127" s="117" t="b">
        <v>1</v>
      </c>
      <c r="D127" s="117" t="s">
        <v>193</v>
      </c>
      <c r="E127" s="117" t="s">
        <v>187</v>
      </c>
      <c r="F127" s="3" t="s">
        <v>285</v>
      </c>
      <c r="G127" s="110"/>
      <c r="H127" s="110">
        <v>1.2478305742263203</v>
      </c>
      <c r="I127" s="3"/>
      <c r="J127" s="110"/>
      <c r="K127" s="110"/>
      <c r="L127" s="110"/>
      <c r="M127" s="110"/>
      <c r="N127" s="3"/>
    </row>
    <row r="128" spans="1:14" x14ac:dyDescent="0.35">
      <c r="A128" s="117" t="s">
        <v>180</v>
      </c>
      <c r="B128" s="117" t="s">
        <v>181</v>
      </c>
      <c r="C128" s="117" t="b">
        <v>0</v>
      </c>
      <c r="D128" s="117" t="s">
        <v>193</v>
      </c>
      <c r="E128" s="117" t="s">
        <v>190</v>
      </c>
      <c r="F128" s="3" t="s">
        <v>286</v>
      </c>
      <c r="G128" s="110"/>
      <c r="H128" s="110">
        <v>1.5033301512865984</v>
      </c>
      <c r="I128" s="3"/>
      <c r="J128" s="110"/>
      <c r="K128" s="110"/>
      <c r="L128" s="110"/>
      <c r="M128" s="110"/>
      <c r="N128" s="3"/>
    </row>
    <row r="129" spans="1:14" x14ac:dyDescent="0.35">
      <c r="A129" s="117" t="s">
        <v>180</v>
      </c>
      <c r="B129" s="117" t="s">
        <v>199</v>
      </c>
      <c r="C129" s="117" t="b">
        <v>0</v>
      </c>
      <c r="D129" s="117" t="s">
        <v>182</v>
      </c>
      <c r="E129" s="117" t="s">
        <v>183</v>
      </c>
      <c r="F129" s="3" t="s">
        <v>287</v>
      </c>
      <c r="G129" s="110"/>
      <c r="H129" s="110">
        <v>9.2053423444923954E-2</v>
      </c>
      <c r="I129" s="3"/>
      <c r="J129" s="110"/>
      <c r="K129" s="110"/>
      <c r="L129" s="110"/>
      <c r="M129" s="110"/>
      <c r="N129" s="3"/>
    </row>
    <row r="130" spans="1:14" x14ac:dyDescent="0.35">
      <c r="A130" s="117" t="s">
        <v>180</v>
      </c>
      <c r="B130" s="117" t="s">
        <v>199</v>
      </c>
      <c r="C130" s="117" t="b">
        <v>1</v>
      </c>
      <c r="D130" s="117" t="s">
        <v>182</v>
      </c>
      <c r="E130" s="117" t="s">
        <v>183</v>
      </c>
      <c r="F130" s="3" t="s">
        <v>288</v>
      </c>
      <c r="G130" s="110"/>
      <c r="H130" s="110">
        <v>9.2053423444923954E-2</v>
      </c>
      <c r="I130" s="3"/>
      <c r="J130" s="110"/>
      <c r="K130" s="110"/>
      <c r="L130" s="110"/>
      <c r="M130" s="110"/>
      <c r="N130" s="3"/>
    </row>
    <row r="131" spans="1:14" x14ac:dyDescent="0.35">
      <c r="A131" s="117" t="s">
        <v>180</v>
      </c>
      <c r="B131" s="117" t="s">
        <v>199</v>
      </c>
      <c r="C131" s="117" t="b">
        <v>0</v>
      </c>
      <c r="D131" s="117" t="s">
        <v>182</v>
      </c>
      <c r="E131" s="117" t="s">
        <v>187</v>
      </c>
      <c r="F131" s="3" t="s">
        <v>289</v>
      </c>
      <c r="G131" s="110"/>
      <c r="H131" s="110">
        <v>0.40698946682729054</v>
      </c>
      <c r="I131" s="3"/>
      <c r="J131" s="110"/>
      <c r="K131" s="110"/>
      <c r="L131" s="110"/>
      <c r="M131" s="110"/>
    </row>
    <row r="132" spans="1:14" x14ac:dyDescent="0.35">
      <c r="A132" s="117" t="s">
        <v>180</v>
      </c>
      <c r="B132" s="117" t="s">
        <v>199</v>
      </c>
      <c r="C132" s="117" t="b">
        <v>1</v>
      </c>
      <c r="D132" s="117" t="s">
        <v>182</v>
      </c>
      <c r="E132" s="117" t="s">
        <v>187</v>
      </c>
      <c r="F132" s="3" t="s">
        <v>290</v>
      </c>
      <c r="G132" s="110"/>
      <c r="H132" s="110">
        <v>0.40698946682729054</v>
      </c>
      <c r="I132" s="3"/>
      <c r="J132" s="110"/>
      <c r="K132" s="110"/>
      <c r="L132" s="110"/>
      <c r="M132" s="110"/>
    </row>
    <row r="133" spans="1:14" x14ac:dyDescent="0.35">
      <c r="A133" s="117" t="s">
        <v>180</v>
      </c>
      <c r="B133" s="117" t="s">
        <v>199</v>
      </c>
      <c r="C133" s="117" t="b">
        <v>0</v>
      </c>
      <c r="D133" s="117" t="s">
        <v>182</v>
      </c>
      <c r="E133" s="117" t="s">
        <v>190</v>
      </c>
      <c r="F133" s="3" t="s">
        <v>291</v>
      </c>
      <c r="G133" s="110"/>
      <c r="H133" s="110">
        <v>0.67021574614079293</v>
      </c>
      <c r="I133" s="3"/>
      <c r="J133" s="110"/>
      <c r="K133" s="110"/>
      <c r="L133" s="110"/>
      <c r="M133" s="110"/>
    </row>
    <row r="134" spans="1:14" x14ac:dyDescent="0.35">
      <c r="A134" s="117" t="s">
        <v>180</v>
      </c>
      <c r="B134" s="117" t="s">
        <v>199</v>
      </c>
      <c r="C134" s="117" t="b">
        <v>1</v>
      </c>
      <c r="D134" s="117" t="s">
        <v>182</v>
      </c>
      <c r="E134" s="117" t="s">
        <v>190</v>
      </c>
      <c r="F134" s="3" t="s">
        <v>292</v>
      </c>
      <c r="G134" s="110"/>
      <c r="H134" s="110">
        <v>0.67021574614079293</v>
      </c>
      <c r="I134" s="3"/>
      <c r="J134" s="110"/>
      <c r="K134" s="110"/>
      <c r="L134" s="110"/>
      <c r="M134" s="110"/>
    </row>
    <row r="135" spans="1:14" x14ac:dyDescent="0.35">
      <c r="A135" s="117" t="s">
        <v>180</v>
      </c>
      <c r="B135" s="117" t="s">
        <v>199</v>
      </c>
      <c r="C135" s="117" t="b">
        <v>0</v>
      </c>
      <c r="D135" s="117" t="s">
        <v>193</v>
      </c>
      <c r="E135" s="117" t="s">
        <v>183</v>
      </c>
      <c r="F135" s="3" t="s">
        <v>293</v>
      </c>
      <c r="G135" s="110"/>
      <c r="H135" s="110">
        <v>0.16357996559406257</v>
      </c>
      <c r="I135" s="3"/>
      <c r="J135" s="110"/>
      <c r="K135" s="110"/>
      <c r="L135" s="110"/>
      <c r="M135" s="110"/>
    </row>
    <row r="136" spans="1:14" x14ac:dyDescent="0.35">
      <c r="A136" s="117" t="s">
        <v>180</v>
      </c>
      <c r="B136" s="117" t="s">
        <v>199</v>
      </c>
      <c r="C136" s="117" t="b">
        <v>1</v>
      </c>
      <c r="D136" s="117" t="s">
        <v>193</v>
      </c>
      <c r="E136" s="117" t="s">
        <v>183</v>
      </c>
      <c r="F136" s="3" t="s">
        <v>294</v>
      </c>
      <c r="G136" s="110"/>
      <c r="H136" s="110">
        <v>0.16357996559406257</v>
      </c>
      <c r="I136" s="3"/>
      <c r="J136" s="110"/>
      <c r="K136" s="110"/>
      <c r="L136" s="110"/>
      <c r="M136" s="110"/>
    </row>
    <row r="137" spans="1:14" x14ac:dyDescent="0.35">
      <c r="A137" s="117" t="s">
        <v>180</v>
      </c>
      <c r="B137" s="117" t="s">
        <v>199</v>
      </c>
      <c r="C137" s="117" t="b">
        <v>1</v>
      </c>
      <c r="D137" s="117" t="s">
        <v>193</v>
      </c>
      <c r="E137" s="117" t="s">
        <v>187</v>
      </c>
      <c r="F137" s="3" t="s">
        <v>295</v>
      </c>
      <c r="G137" s="110"/>
      <c r="H137" s="110">
        <v>0.7772305322632107</v>
      </c>
      <c r="I137" s="3"/>
      <c r="J137" s="110"/>
      <c r="K137" s="110"/>
      <c r="L137" s="110"/>
      <c r="M137" s="110"/>
    </row>
    <row r="138" spans="1:14" x14ac:dyDescent="0.35">
      <c r="A138" s="117" t="s">
        <v>180</v>
      </c>
      <c r="B138" s="117" t="s">
        <v>199</v>
      </c>
      <c r="C138" s="117" t="b">
        <v>0</v>
      </c>
      <c r="D138" s="117" t="s">
        <v>193</v>
      </c>
      <c r="E138" s="117" t="s">
        <v>190</v>
      </c>
      <c r="F138" s="3" t="s">
        <v>296</v>
      </c>
      <c r="G138" s="110"/>
      <c r="H138" s="110">
        <v>1.1390168214683927</v>
      </c>
      <c r="I138" s="3"/>
      <c r="J138" s="110"/>
      <c r="K138" s="110"/>
      <c r="L138" s="110"/>
      <c r="M138" s="110"/>
    </row>
    <row r="139" spans="1:14" x14ac:dyDescent="0.35">
      <c r="A139" s="117" t="s">
        <v>180</v>
      </c>
      <c r="B139" s="117" t="s">
        <v>199</v>
      </c>
      <c r="C139" s="117" t="b">
        <v>1</v>
      </c>
      <c r="D139" s="117" t="s">
        <v>193</v>
      </c>
      <c r="E139" s="117" t="s">
        <v>190</v>
      </c>
      <c r="F139" s="3" t="s">
        <v>297</v>
      </c>
      <c r="G139" s="110"/>
      <c r="H139" s="110">
        <v>1.1390168214683927</v>
      </c>
      <c r="I139" s="3"/>
      <c r="J139" s="110"/>
      <c r="K139" s="110"/>
      <c r="L139" s="110"/>
      <c r="M139" s="110"/>
    </row>
    <row r="140" spans="1:14" x14ac:dyDescent="0.35">
      <c r="A140" s="117" t="s">
        <v>180</v>
      </c>
      <c r="B140" s="117" t="s">
        <v>213</v>
      </c>
      <c r="C140" s="117" t="b">
        <v>0</v>
      </c>
      <c r="D140" s="117" t="s">
        <v>182</v>
      </c>
      <c r="E140" s="117" t="s">
        <v>183</v>
      </c>
      <c r="F140" s="3" t="s">
        <v>298</v>
      </c>
      <c r="G140" s="110"/>
      <c r="H140" s="110">
        <v>0.10381541474441461</v>
      </c>
      <c r="I140" s="3"/>
      <c r="J140" s="110"/>
      <c r="K140" s="110"/>
      <c r="L140" s="110"/>
      <c r="M140" s="110"/>
    </row>
    <row r="141" spans="1:14" x14ac:dyDescent="0.35">
      <c r="A141" s="117" t="s">
        <v>180</v>
      </c>
      <c r="B141" s="117" t="s">
        <v>213</v>
      </c>
      <c r="C141" s="117" t="b">
        <v>1</v>
      </c>
      <c r="D141" s="117" t="s">
        <v>182</v>
      </c>
      <c r="E141" s="117" t="s">
        <v>183</v>
      </c>
      <c r="F141" s="3" t="s">
        <v>299</v>
      </c>
      <c r="G141" s="110"/>
      <c r="H141" s="110">
        <v>0.10381541474441461</v>
      </c>
      <c r="I141" s="3"/>
      <c r="J141" s="110"/>
      <c r="K141" s="110"/>
      <c r="L141" s="110"/>
      <c r="M141" s="110"/>
    </row>
    <row r="142" spans="1:14" x14ac:dyDescent="0.35">
      <c r="A142" s="117" t="s">
        <v>180</v>
      </c>
      <c r="B142" s="117" t="s">
        <v>213</v>
      </c>
      <c r="C142" s="117" t="b">
        <v>0</v>
      </c>
      <c r="D142" s="117" t="s">
        <v>182</v>
      </c>
      <c r="E142" s="117" t="s">
        <v>187</v>
      </c>
      <c r="F142" s="3" t="s">
        <v>300</v>
      </c>
      <c r="G142" s="110"/>
      <c r="H142" s="110">
        <v>0.53052498570609496</v>
      </c>
      <c r="I142" s="3"/>
      <c r="J142" s="110"/>
      <c r="K142" s="110"/>
      <c r="L142" s="110"/>
      <c r="M142" s="110"/>
    </row>
    <row r="143" spans="1:14" x14ac:dyDescent="0.35">
      <c r="A143" s="117" t="s">
        <v>180</v>
      </c>
      <c r="B143" s="117" t="s">
        <v>213</v>
      </c>
      <c r="C143" s="117" t="b">
        <v>1</v>
      </c>
      <c r="D143" s="117" t="s">
        <v>182</v>
      </c>
      <c r="E143" s="117" t="s">
        <v>187</v>
      </c>
      <c r="F143" s="3" t="s">
        <v>301</v>
      </c>
      <c r="G143" s="110"/>
      <c r="H143" s="110">
        <v>0.53052498570609496</v>
      </c>
      <c r="I143" s="3"/>
      <c r="J143" s="110"/>
      <c r="K143" s="110"/>
      <c r="L143" s="110"/>
      <c r="M143" s="110"/>
    </row>
    <row r="144" spans="1:14" x14ac:dyDescent="0.35">
      <c r="A144" s="117" t="s">
        <v>180</v>
      </c>
      <c r="B144" s="117" t="s">
        <v>213</v>
      </c>
      <c r="C144" s="117" t="b">
        <v>0</v>
      </c>
      <c r="D144" s="117" t="s">
        <v>182</v>
      </c>
      <c r="E144" s="117" t="s">
        <v>190</v>
      </c>
      <c r="F144" s="3" t="s">
        <v>302</v>
      </c>
      <c r="G144" s="110"/>
      <c r="H144" s="110">
        <v>0.79806164877258179</v>
      </c>
      <c r="I144" s="3"/>
      <c r="J144" s="110"/>
      <c r="K144" s="110"/>
      <c r="L144" s="110"/>
      <c r="M144" s="110"/>
    </row>
    <row r="145" spans="1:13" x14ac:dyDescent="0.35">
      <c r="A145" s="117" t="s">
        <v>180</v>
      </c>
      <c r="B145" s="117" t="s">
        <v>213</v>
      </c>
      <c r="C145" s="117" t="b">
        <v>1</v>
      </c>
      <c r="D145" s="117" t="s">
        <v>193</v>
      </c>
      <c r="E145" s="117" t="s">
        <v>183</v>
      </c>
      <c r="F145" s="3" t="s">
        <v>303</v>
      </c>
      <c r="G145" s="110"/>
      <c r="H145" s="110">
        <v>0.18639059550864001</v>
      </c>
      <c r="I145" s="3"/>
      <c r="J145" s="110"/>
      <c r="K145" s="110"/>
      <c r="L145" s="110"/>
      <c r="M145" s="110"/>
    </row>
    <row r="146" spans="1:13" x14ac:dyDescent="0.35">
      <c r="A146" s="117" t="s">
        <v>180</v>
      </c>
      <c r="B146" s="117" t="s">
        <v>222</v>
      </c>
      <c r="C146" s="117" t="b">
        <v>0</v>
      </c>
      <c r="D146" s="117" t="s">
        <v>182</v>
      </c>
      <c r="E146" s="117" t="s">
        <v>183</v>
      </c>
      <c r="F146" s="3" t="s">
        <v>304</v>
      </c>
      <c r="G146" s="110"/>
      <c r="H146" s="110">
        <v>0.12706979365288279</v>
      </c>
      <c r="I146" s="3"/>
      <c r="J146" s="110"/>
      <c r="K146" s="110"/>
      <c r="L146" s="110"/>
      <c r="M146" s="110"/>
    </row>
    <row r="147" spans="1:13" x14ac:dyDescent="0.35">
      <c r="A147" s="117" t="s">
        <v>180</v>
      </c>
      <c r="B147" s="117" t="s">
        <v>222</v>
      </c>
      <c r="C147" s="117" t="b">
        <v>1</v>
      </c>
      <c r="D147" s="117" t="s">
        <v>182</v>
      </c>
      <c r="E147" s="117" t="s">
        <v>183</v>
      </c>
      <c r="F147" s="3" t="s">
        <v>305</v>
      </c>
      <c r="G147" s="110"/>
      <c r="H147" s="110">
        <v>0.12417447693185898</v>
      </c>
      <c r="I147" s="3"/>
      <c r="J147" s="110"/>
      <c r="K147" s="110"/>
      <c r="L147" s="110"/>
      <c r="M147" s="110"/>
    </row>
    <row r="148" spans="1:13" x14ac:dyDescent="0.35">
      <c r="A148" s="117" t="s">
        <v>180</v>
      </c>
      <c r="B148" s="117" t="s">
        <v>222</v>
      </c>
      <c r="C148" s="117" t="b">
        <v>0</v>
      </c>
      <c r="D148" s="117" t="s">
        <v>182</v>
      </c>
      <c r="E148" s="117" t="s">
        <v>187</v>
      </c>
      <c r="F148" s="3" t="s">
        <v>306</v>
      </c>
      <c r="G148" s="110"/>
      <c r="H148" s="110">
        <v>0.58874843832541524</v>
      </c>
      <c r="I148" s="3"/>
      <c r="J148" s="110"/>
      <c r="K148" s="110"/>
      <c r="L148" s="110"/>
      <c r="M148" s="110"/>
    </row>
    <row r="149" spans="1:13" x14ac:dyDescent="0.35">
      <c r="A149" s="117" t="s">
        <v>180</v>
      </c>
      <c r="B149" s="117" t="s">
        <v>222</v>
      </c>
      <c r="C149" s="117" t="b">
        <v>0</v>
      </c>
      <c r="D149" s="117" t="s">
        <v>193</v>
      </c>
      <c r="E149" s="117" t="s">
        <v>183</v>
      </c>
      <c r="F149" s="3" t="s">
        <v>307</v>
      </c>
      <c r="G149" s="110"/>
      <c r="H149" s="110">
        <v>0.21315145913366179</v>
      </c>
      <c r="I149" s="3"/>
      <c r="J149" s="110"/>
      <c r="K149" s="110"/>
      <c r="L149" s="110"/>
      <c r="M149" s="110"/>
    </row>
    <row r="150" spans="1:13" x14ac:dyDescent="0.35">
      <c r="A150" s="117" t="s">
        <v>180</v>
      </c>
      <c r="B150" s="117" t="s">
        <v>222</v>
      </c>
      <c r="C150" s="117" t="b">
        <v>1</v>
      </c>
      <c r="D150" s="117" t="s">
        <v>193</v>
      </c>
      <c r="E150" s="117" t="s">
        <v>183</v>
      </c>
      <c r="F150" s="3" t="s">
        <v>308</v>
      </c>
      <c r="G150" s="110"/>
      <c r="H150" s="110">
        <v>0.20973912898443559</v>
      </c>
      <c r="I150" s="3"/>
      <c r="J150" s="110"/>
      <c r="K150" s="110"/>
      <c r="L150" s="110"/>
      <c r="M150" s="110"/>
    </row>
    <row r="151" spans="1:13" x14ac:dyDescent="0.35">
      <c r="A151" s="117" t="s">
        <v>180</v>
      </c>
      <c r="B151" s="117" t="s">
        <v>230</v>
      </c>
      <c r="C151" s="117" t="b">
        <v>0</v>
      </c>
      <c r="D151" s="117" t="s">
        <v>182</v>
      </c>
      <c r="E151" s="117" t="s">
        <v>183</v>
      </c>
      <c r="F151" s="3" t="s">
        <v>309</v>
      </c>
      <c r="G151" s="110"/>
      <c r="H151" s="110">
        <v>0.13649756701599286</v>
      </c>
      <c r="I151" s="3"/>
      <c r="J151" s="110"/>
      <c r="K151" s="110"/>
      <c r="L151" s="110"/>
      <c r="M151" s="110"/>
    </row>
    <row r="152" spans="1:13" x14ac:dyDescent="0.35">
      <c r="A152" s="117" t="s">
        <v>180</v>
      </c>
      <c r="B152" s="117" t="s">
        <v>230</v>
      </c>
      <c r="C152" s="117" t="b">
        <v>1</v>
      </c>
      <c r="D152" s="117" t="s">
        <v>182</v>
      </c>
      <c r="E152" s="117" t="s">
        <v>183</v>
      </c>
      <c r="F152" s="3" t="s">
        <v>310</v>
      </c>
      <c r="G152" s="110"/>
      <c r="H152" s="110">
        <v>0.13359309386990814</v>
      </c>
      <c r="I152" s="3"/>
      <c r="J152" s="110"/>
      <c r="K152" s="110"/>
      <c r="L152" s="110"/>
      <c r="M152" s="110"/>
    </row>
    <row r="153" spans="1:13" x14ac:dyDescent="0.35">
      <c r="A153" s="117" t="s">
        <v>180</v>
      </c>
      <c r="B153" s="117" t="s">
        <v>230</v>
      </c>
      <c r="C153" s="117" t="b">
        <v>0</v>
      </c>
      <c r="D153" s="117" t="s">
        <v>182</v>
      </c>
      <c r="E153" s="117" t="s">
        <v>187</v>
      </c>
      <c r="F153" s="3" t="s">
        <v>311</v>
      </c>
      <c r="G153" s="110"/>
      <c r="H153" s="110">
        <v>0.42812224917930619</v>
      </c>
      <c r="I153" s="3"/>
      <c r="J153" s="110"/>
      <c r="K153" s="110"/>
      <c r="L153" s="110"/>
      <c r="M153" s="110"/>
    </row>
    <row r="154" spans="1:13" x14ac:dyDescent="0.35">
      <c r="A154" s="117" t="s">
        <v>180</v>
      </c>
      <c r="B154" s="117" t="s">
        <v>230</v>
      </c>
      <c r="C154" s="117" t="b">
        <v>1</v>
      </c>
      <c r="D154" s="117" t="s">
        <v>182</v>
      </c>
      <c r="E154" s="117" t="s">
        <v>187</v>
      </c>
      <c r="F154" s="3" t="s">
        <v>312</v>
      </c>
      <c r="G154" s="110"/>
      <c r="H154" s="110">
        <v>0.40893411967621263</v>
      </c>
      <c r="I154" s="3"/>
      <c r="J154" s="110"/>
      <c r="K154" s="110"/>
      <c r="L154" s="110"/>
      <c r="M154" s="110"/>
    </row>
    <row r="155" spans="1:13" x14ac:dyDescent="0.35">
      <c r="A155" s="117" t="s">
        <v>180</v>
      </c>
      <c r="B155" s="117" t="s">
        <v>230</v>
      </c>
      <c r="C155" s="117" t="b">
        <v>1</v>
      </c>
      <c r="D155" s="117" t="s">
        <v>182</v>
      </c>
      <c r="E155" s="117" t="s">
        <v>190</v>
      </c>
      <c r="F155" s="3" t="s">
        <v>313</v>
      </c>
      <c r="G155" s="110"/>
      <c r="H155" s="110">
        <v>0.85055298734773388</v>
      </c>
      <c r="I155" s="3"/>
      <c r="J155" s="110"/>
      <c r="K155" s="110"/>
      <c r="L155" s="110"/>
      <c r="M155" s="110"/>
    </row>
    <row r="156" spans="1:13" x14ac:dyDescent="0.35">
      <c r="A156" s="117" t="s">
        <v>180</v>
      </c>
      <c r="B156" s="117" t="s">
        <v>230</v>
      </c>
      <c r="C156" s="117" t="b">
        <v>1</v>
      </c>
      <c r="D156" s="117" t="s">
        <v>193</v>
      </c>
      <c r="E156" s="117" t="s">
        <v>183</v>
      </c>
      <c r="F156" s="3" t="s">
        <v>314</v>
      </c>
      <c r="G156" s="110"/>
      <c r="H156" s="110">
        <v>0.21127499655818746</v>
      </c>
      <c r="I156" s="3"/>
      <c r="J156" s="110"/>
      <c r="K156" s="110"/>
      <c r="L156" s="110"/>
      <c r="M156" s="110"/>
    </row>
    <row r="157" spans="1:13" x14ac:dyDescent="0.35">
      <c r="A157" s="117" t="s">
        <v>180</v>
      </c>
      <c r="B157" s="117" t="s">
        <v>230</v>
      </c>
      <c r="C157" s="117" t="b">
        <v>1</v>
      </c>
      <c r="D157" s="117" t="s">
        <v>193</v>
      </c>
      <c r="E157" s="117" t="s">
        <v>190</v>
      </c>
      <c r="F157" s="3" t="s">
        <v>315</v>
      </c>
      <c r="G157" s="110"/>
      <c r="H157" s="110">
        <v>1.3798627116009607</v>
      </c>
      <c r="I157" s="3"/>
      <c r="J157" s="110"/>
      <c r="K157" s="110"/>
      <c r="L157" s="110"/>
      <c r="M157" s="110"/>
    </row>
    <row r="158" spans="1:13" x14ac:dyDescent="0.35">
      <c r="A158" s="117" t="s">
        <v>180</v>
      </c>
      <c r="B158" s="117" t="s">
        <v>240</v>
      </c>
      <c r="C158" s="117" t="b">
        <v>0</v>
      </c>
      <c r="D158" s="117" t="s">
        <v>182</v>
      </c>
      <c r="E158" s="117" t="s">
        <v>183</v>
      </c>
      <c r="F158" s="3" t="s">
        <v>316</v>
      </c>
      <c r="G158" s="110"/>
      <c r="H158" s="110">
        <v>0.11382337645460913</v>
      </c>
      <c r="I158" s="3"/>
      <c r="J158" s="110"/>
      <c r="K158" s="110"/>
      <c r="L158" s="110"/>
      <c r="M158" s="110"/>
    </row>
    <row r="159" spans="1:13" x14ac:dyDescent="0.35">
      <c r="A159" s="117" t="s">
        <v>180</v>
      </c>
      <c r="B159" s="117" t="s">
        <v>240</v>
      </c>
      <c r="C159" s="117" t="b">
        <v>1</v>
      </c>
      <c r="D159" s="117" t="s">
        <v>182</v>
      </c>
      <c r="E159" s="117" t="s">
        <v>183</v>
      </c>
      <c r="F159" s="3" t="s">
        <v>317</v>
      </c>
      <c r="G159" s="110"/>
      <c r="H159" s="110">
        <v>0.11294762841141033</v>
      </c>
      <c r="I159" s="3"/>
      <c r="J159" s="110"/>
      <c r="K159" s="110"/>
      <c r="L159" s="110"/>
      <c r="M159" s="110"/>
    </row>
    <row r="160" spans="1:13" x14ac:dyDescent="0.35">
      <c r="A160" s="117" t="s">
        <v>180</v>
      </c>
      <c r="B160" s="117" t="s">
        <v>240</v>
      </c>
      <c r="C160" s="117" t="b">
        <v>0</v>
      </c>
      <c r="D160" s="117" t="s">
        <v>182</v>
      </c>
      <c r="E160" s="117" t="s">
        <v>187</v>
      </c>
      <c r="F160" s="3" t="s">
        <v>318</v>
      </c>
      <c r="G160" s="110"/>
      <c r="H160" s="110">
        <v>0.26056828187129821</v>
      </c>
      <c r="I160" s="3"/>
      <c r="J160" s="110"/>
      <c r="K160" s="110"/>
      <c r="L160" s="110"/>
      <c r="M160" s="110"/>
    </row>
    <row r="161" spans="1:13" x14ac:dyDescent="0.35">
      <c r="A161" s="117" t="s">
        <v>180</v>
      </c>
      <c r="B161" s="117" t="s">
        <v>240</v>
      </c>
      <c r="C161" s="117" t="b">
        <v>1</v>
      </c>
      <c r="D161" s="117" t="s">
        <v>182</v>
      </c>
      <c r="E161" s="117" t="s">
        <v>187</v>
      </c>
      <c r="F161" s="3" t="s">
        <v>319</v>
      </c>
      <c r="G161" s="110"/>
      <c r="H161" s="110">
        <v>0.25932401325696269</v>
      </c>
      <c r="I161" s="3"/>
      <c r="J161" s="110"/>
      <c r="K161" s="110"/>
      <c r="L161" s="110"/>
      <c r="M161" s="110"/>
    </row>
    <row r="162" spans="1:13" x14ac:dyDescent="0.35">
      <c r="A162" s="117" t="s">
        <v>180</v>
      </c>
      <c r="B162" s="117" t="s">
        <v>240</v>
      </c>
      <c r="C162" s="117" t="b">
        <v>0</v>
      </c>
      <c r="D162" s="117" t="s">
        <v>182</v>
      </c>
      <c r="E162" s="117" t="s">
        <v>190</v>
      </c>
      <c r="F162" s="3" t="s">
        <v>320</v>
      </c>
      <c r="G162" s="110"/>
      <c r="H162" s="110">
        <v>0.91251614468072195</v>
      </c>
      <c r="I162" s="3"/>
      <c r="J162" s="110"/>
      <c r="K162" s="110"/>
      <c r="L162" s="110"/>
      <c r="M162" s="110"/>
    </row>
    <row r="163" spans="1:13" x14ac:dyDescent="0.35">
      <c r="A163" s="117" t="s">
        <v>180</v>
      </c>
      <c r="B163" s="117" t="s">
        <v>240</v>
      </c>
      <c r="C163" s="117" t="b">
        <v>0</v>
      </c>
      <c r="D163" s="117" t="s">
        <v>193</v>
      </c>
      <c r="E163" s="117" t="s">
        <v>183</v>
      </c>
      <c r="F163" s="3" t="s">
        <v>321</v>
      </c>
      <c r="G163" s="110"/>
      <c r="H163" s="110">
        <v>0.17498443830247701</v>
      </c>
      <c r="I163" s="3"/>
      <c r="J163" s="110"/>
      <c r="K163" s="110"/>
      <c r="L163" s="110"/>
      <c r="M163" s="110"/>
    </row>
    <row r="164" spans="1:13" x14ac:dyDescent="0.35">
      <c r="A164" s="117" t="s">
        <v>180</v>
      </c>
      <c r="B164" s="117" t="s">
        <v>240</v>
      </c>
      <c r="C164" s="117" t="b">
        <v>1</v>
      </c>
      <c r="D164" s="117" t="s">
        <v>193</v>
      </c>
      <c r="E164" s="117" t="s">
        <v>183</v>
      </c>
      <c r="F164" s="3" t="s">
        <v>322</v>
      </c>
      <c r="G164" s="110"/>
      <c r="H164" s="110">
        <v>0.17386830104797507</v>
      </c>
      <c r="I164" s="3"/>
      <c r="J164" s="110"/>
      <c r="K164" s="110"/>
      <c r="L164" s="110"/>
      <c r="M164" s="110"/>
    </row>
    <row r="165" spans="1:13" x14ac:dyDescent="0.35">
      <c r="A165" s="117" t="s">
        <v>180</v>
      </c>
      <c r="B165" s="117" t="s">
        <v>240</v>
      </c>
      <c r="C165" s="117" t="b">
        <v>0</v>
      </c>
      <c r="D165" s="117" t="s">
        <v>193</v>
      </c>
      <c r="E165" s="117" t="s">
        <v>190</v>
      </c>
      <c r="F165" s="3" t="s">
        <v>323</v>
      </c>
      <c r="G165" s="110"/>
      <c r="H165" s="110">
        <v>1.4662625019801638</v>
      </c>
      <c r="I165" s="3"/>
      <c r="J165" s="110"/>
      <c r="K165" s="110"/>
      <c r="L165" s="110"/>
      <c r="M165" s="110"/>
    </row>
    <row r="166" spans="1:13" x14ac:dyDescent="0.35">
      <c r="A166" s="117" t="s">
        <v>180</v>
      </c>
      <c r="B166" s="117" t="s">
        <v>251</v>
      </c>
      <c r="C166" s="117" t="b">
        <v>0</v>
      </c>
      <c r="D166" s="117" t="s">
        <v>182</v>
      </c>
      <c r="E166" s="117" t="s">
        <v>183</v>
      </c>
      <c r="F166" s="3" t="s">
        <v>324</v>
      </c>
      <c r="G166" s="110"/>
      <c r="H166" s="110">
        <v>7.1851847662839224E-2</v>
      </c>
      <c r="I166" s="3"/>
      <c r="J166" s="110"/>
      <c r="K166" s="110"/>
      <c r="L166" s="110"/>
      <c r="M166" s="110"/>
    </row>
    <row r="167" spans="1:13" x14ac:dyDescent="0.35">
      <c r="A167" s="117" t="s">
        <v>180</v>
      </c>
      <c r="B167" s="117" t="s">
        <v>251</v>
      </c>
      <c r="C167" s="117" t="b">
        <v>1</v>
      </c>
      <c r="D167" s="117" t="s">
        <v>182</v>
      </c>
      <c r="E167" s="117" t="s">
        <v>183</v>
      </c>
      <c r="F167" s="3" t="s">
        <v>325</v>
      </c>
      <c r="G167" s="110"/>
      <c r="H167" s="110">
        <v>7.1851689688715817E-2</v>
      </c>
      <c r="I167" s="3"/>
      <c r="J167" s="110"/>
      <c r="K167" s="110"/>
      <c r="L167" s="110"/>
      <c r="M167" s="110"/>
    </row>
    <row r="168" spans="1:13" x14ac:dyDescent="0.35">
      <c r="A168" s="117" t="s">
        <v>180</v>
      </c>
      <c r="B168" s="117" t="s">
        <v>251</v>
      </c>
      <c r="C168" s="117" t="b">
        <v>0</v>
      </c>
      <c r="D168" s="117" t="s">
        <v>182</v>
      </c>
      <c r="E168" s="117" t="s">
        <v>187</v>
      </c>
      <c r="F168" s="3" t="s">
        <v>326</v>
      </c>
      <c r="G168" s="110"/>
      <c r="H168" s="110">
        <v>0.12127379687182142</v>
      </c>
      <c r="I168" s="3"/>
      <c r="J168" s="110"/>
      <c r="K168" s="110"/>
      <c r="L168" s="110"/>
      <c r="M168" s="110"/>
    </row>
    <row r="169" spans="1:13" x14ac:dyDescent="0.35">
      <c r="A169" s="117" t="s">
        <v>180</v>
      </c>
      <c r="B169" s="117" t="s">
        <v>251</v>
      </c>
      <c r="C169" s="117" t="b">
        <v>1</v>
      </c>
      <c r="D169" s="117" t="s">
        <v>182</v>
      </c>
      <c r="E169" s="117" t="s">
        <v>187</v>
      </c>
      <c r="F169" s="3" t="s">
        <v>327</v>
      </c>
      <c r="G169" s="110"/>
      <c r="H169" s="110">
        <v>0.12127360087760185</v>
      </c>
      <c r="I169" s="3"/>
      <c r="J169" s="110"/>
      <c r="K169" s="110"/>
      <c r="L169" s="110"/>
      <c r="M169" s="110"/>
    </row>
    <row r="170" spans="1:13" x14ac:dyDescent="0.35">
      <c r="A170" s="117" t="s">
        <v>180</v>
      </c>
      <c r="B170" s="117" t="s">
        <v>251</v>
      </c>
      <c r="C170" s="117" t="b">
        <v>0</v>
      </c>
      <c r="D170" s="117" t="s">
        <v>182</v>
      </c>
      <c r="E170" s="117" t="s">
        <v>190</v>
      </c>
      <c r="F170" s="3" t="s">
        <v>328</v>
      </c>
      <c r="G170" s="110"/>
      <c r="H170" s="110">
        <v>0.47507333313192507</v>
      </c>
      <c r="I170" s="3"/>
      <c r="J170" s="110"/>
      <c r="K170" s="110"/>
      <c r="L170" s="110"/>
      <c r="M170" s="110"/>
    </row>
    <row r="171" spans="1:13" x14ac:dyDescent="0.35">
      <c r="A171" s="117" t="s">
        <v>180</v>
      </c>
      <c r="B171" s="117" t="s">
        <v>251</v>
      </c>
      <c r="C171" s="117" t="b">
        <v>1</v>
      </c>
      <c r="D171" s="117" t="s">
        <v>182</v>
      </c>
      <c r="E171" s="117" t="s">
        <v>190</v>
      </c>
      <c r="F171" s="3" t="s">
        <v>329</v>
      </c>
      <c r="G171" s="110"/>
      <c r="H171" s="110">
        <v>0.47504718843725707</v>
      </c>
      <c r="I171" s="3"/>
      <c r="J171" s="110"/>
      <c r="K171" s="110"/>
      <c r="L171" s="110"/>
      <c r="M171" s="110"/>
    </row>
    <row r="172" spans="1:13" x14ac:dyDescent="0.35">
      <c r="A172" s="117" t="s">
        <v>180</v>
      </c>
      <c r="B172" s="117" t="s">
        <v>251</v>
      </c>
      <c r="C172" s="117" t="b">
        <v>0</v>
      </c>
      <c r="D172" s="117" t="s">
        <v>193</v>
      </c>
      <c r="E172" s="117" t="s">
        <v>183</v>
      </c>
      <c r="F172" s="3" t="s">
        <v>330</v>
      </c>
      <c r="G172" s="110"/>
      <c r="H172" s="110">
        <v>0.11771860198790692</v>
      </c>
      <c r="I172" s="3"/>
      <c r="J172" s="110"/>
      <c r="K172" s="110"/>
      <c r="L172" s="110"/>
      <c r="M172" s="110"/>
    </row>
    <row r="173" spans="1:13" x14ac:dyDescent="0.35">
      <c r="A173" s="117" t="s">
        <v>180</v>
      </c>
      <c r="B173" s="117" t="s">
        <v>251</v>
      </c>
      <c r="C173" s="117" t="b">
        <v>1</v>
      </c>
      <c r="D173" s="117" t="s">
        <v>193</v>
      </c>
      <c r="E173" s="117" t="s">
        <v>183</v>
      </c>
      <c r="F173" s="3" t="s">
        <v>331</v>
      </c>
      <c r="G173" s="110"/>
      <c r="H173" s="110">
        <v>0.11771840027051352</v>
      </c>
      <c r="I173" s="3"/>
      <c r="J173" s="110"/>
      <c r="K173" s="110"/>
      <c r="L173" s="110"/>
      <c r="M173" s="110"/>
    </row>
    <row r="174" spans="1:13" x14ac:dyDescent="0.35">
      <c r="A174" s="117" t="s">
        <v>180</v>
      </c>
      <c r="B174" s="117" t="s">
        <v>251</v>
      </c>
      <c r="C174" s="117" t="b">
        <v>0</v>
      </c>
      <c r="D174" s="117" t="s">
        <v>193</v>
      </c>
      <c r="E174" s="117" t="s">
        <v>187</v>
      </c>
      <c r="F174" s="3" t="s">
        <v>332</v>
      </c>
      <c r="G174" s="110"/>
      <c r="H174" s="110">
        <v>0.2150660010060545</v>
      </c>
      <c r="I174" s="3"/>
      <c r="J174" s="110"/>
      <c r="K174" s="110"/>
      <c r="L174" s="110"/>
      <c r="M174" s="110"/>
    </row>
    <row r="175" spans="1:13" x14ac:dyDescent="0.35">
      <c r="A175" s="117" t="s">
        <v>180</v>
      </c>
      <c r="B175" s="117" t="s">
        <v>251</v>
      </c>
      <c r="C175" s="117" t="b">
        <v>1</v>
      </c>
      <c r="D175" s="117" t="s">
        <v>193</v>
      </c>
      <c r="E175" s="117" t="s">
        <v>187</v>
      </c>
      <c r="F175" s="3" t="s">
        <v>333</v>
      </c>
      <c r="G175" s="110"/>
      <c r="H175" s="110">
        <v>0.21506574256239269</v>
      </c>
      <c r="I175" s="3"/>
      <c r="J175" s="110"/>
      <c r="K175" s="110"/>
      <c r="L175" s="110"/>
      <c r="M175" s="110"/>
    </row>
    <row r="176" spans="1:13" x14ac:dyDescent="0.35">
      <c r="A176" s="117" t="s">
        <v>180</v>
      </c>
      <c r="B176" s="117" t="s">
        <v>251</v>
      </c>
      <c r="C176" s="117" t="b">
        <v>0</v>
      </c>
      <c r="D176" s="117" t="s">
        <v>193</v>
      </c>
      <c r="E176" s="117" t="s">
        <v>190</v>
      </c>
      <c r="F176" s="3" t="s">
        <v>334</v>
      </c>
      <c r="G176" s="110"/>
      <c r="H176" s="110">
        <v>0.81939338259049976</v>
      </c>
      <c r="I176" s="3"/>
      <c r="J176" s="110"/>
      <c r="K176" s="110"/>
      <c r="L176" s="110"/>
      <c r="M176" s="110"/>
    </row>
    <row r="177" spans="1:13" x14ac:dyDescent="0.35">
      <c r="A177" s="117" t="s">
        <v>180</v>
      </c>
      <c r="B177" s="117" t="s">
        <v>265</v>
      </c>
      <c r="C177" s="117" t="b">
        <v>0</v>
      </c>
      <c r="D177" s="117" t="s">
        <v>182</v>
      </c>
      <c r="E177" s="117" t="s">
        <v>183</v>
      </c>
      <c r="F177" s="3" t="s">
        <v>335</v>
      </c>
      <c r="G177" s="110"/>
      <c r="H177" s="110">
        <v>0.10238467097642241</v>
      </c>
      <c r="I177" s="3"/>
      <c r="J177" s="110"/>
      <c r="K177" s="110"/>
      <c r="L177" s="110"/>
      <c r="M177" s="110"/>
    </row>
    <row r="178" spans="1:13" x14ac:dyDescent="0.35">
      <c r="A178" s="117" t="s">
        <v>180</v>
      </c>
      <c r="B178" s="117" t="s">
        <v>265</v>
      </c>
      <c r="C178" s="117" t="b">
        <v>1</v>
      </c>
      <c r="D178" s="117" t="s">
        <v>182</v>
      </c>
      <c r="E178" s="117" t="s">
        <v>183</v>
      </c>
      <c r="F178" s="3" t="s">
        <v>336</v>
      </c>
      <c r="G178" s="110"/>
      <c r="H178" s="110">
        <v>0.10215299058787009</v>
      </c>
      <c r="I178" s="3"/>
      <c r="J178" s="110"/>
      <c r="K178" s="110"/>
      <c r="L178" s="110"/>
      <c r="M178" s="110"/>
    </row>
    <row r="179" spans="1:13" x14ac:dyDescent="0.35">
      <c r="A179" s="117" t="s">
        <v>180</v>
      </c>
      <c r="B179" s="117" t="s">
        <v>265</v>
      </c>
      <c r="C179" s="117" t="b">
        <v>0</v>
      </c>
      <c r="D179" s="117" t="s">
        <v>182</v>
      </c>
      <c r="E179" s="117" t="s">
        <v>187</v>
      </c>
      <c r="F179" s="3" t="s">
        <v>337</v>
      </c>
      <c r="G179" s="110"/>
      <c r="H179" s="110">
        <v>0.40516470704828272</v>
      </c>
      <c r="I179" s="3"/>
      <c r="J179" s="110"/>
      <c r="K179" s="110"/>
      <c r="L179" s="110"/>
      <c r="M179" s="110"/>
    </row>
    <row r="180" spans="1:13" x14ac:dyDescent="0.35">
      <c r="A180" s="117" t="s">
        <v>180</v>
      </c>
      <c r="B180" s="117" t="s">
        <v>265</v>
      </c>
      <c r="C180" s="117" t="b">
        <v>1</v>
      </c>
      <c r="D180" s="117" t="s">
        <v>182</v>
      </c>
      <c r="E180" s="117" t="s">
        <v>187</v>
      </c>
      <c r="F180" s="3" t="s">
        <v>338</v>
      </c>
      <c r="G180" s="110"/>
      <c r="H180" s="110">
        <v>0.40345606724883609</v>
      </c>
      <c r="I180" s="3"/>
      <c r="J180" s="110"/>
      <c r="K180" s="110"/>
      <c r="L180" s="110"/>
      <c r="M180" s="110"/>
    </row>
    <row r="181" spans="1:13" x14ac:dyDescent="0.35">
      <c r="A181" s="117" t="s">
        <v>180</v>
      </c>
      <c r="B181" s="117" t="s">
        <v>265</v>
      </c>
      <c r="C181" s="117" t="b">
        <v>0</v>
      </c>
      <c r="D181" s="117" t="s">
        <v>182</v>
      </c>
      <c r="E181" s="117" t="s">
        <v>190</v>
      </c>
      <c r="F181" s="3" t="s">
        <v>339</v>
      </c>
      <c r="G181" s="110"/>
      <c r="H181" s="110">
        <v>0.75317153993985642</v>
      </c>
      <c r="I181" s="3"/>
      <c r="J181" s="110"/>
      <c r="K181" s="110"/>
      <c r="L181" s="110"/>
      <c r="M181" s="110"/>
    </row>
    <row r="182" spans="1:13" x14ac:dyDescent="0.35">
      <c r="A182" s="117" t="s">
        <v>180</v>
      </c>
      <c r="B182" s="117" t="s">
        <v>265</v>
      </c>
      <c r="C182" s="117" t="b">
        <v>1</v>
      </c>
      <c r="D182" s="117" t="s">
        <v>182</v>
      </c>
      <c r="E182" s="117" t="s">
        <v>190</v>
      </c>
      <c r="F182" s="3" t="s">
        <v>340</v>
      </c>
      <c r="G182" s="110"/>
      <c r="H182" s="110">
        <v>0.74968351262776201</v>
      </c>
      <c r="I182" s="3"/>
      <c r="J182" s="110"/>
      <c r="K182" s="110"/>
      <c r="L182" s="110"/>
      <c r="M182" s="110"/>
    </row>
    <row r="183" spans="1:13" x14ac:dyDescent="0.35">
      <c r="A183" s="117" t="s">
        <v>180</v>
      </c>
      <c r="B183" s="117" t="s">
        <v>265</v>
      </c>
      <c r="C183" s="117" t="b">
        <v>1</v>
      </c>
      <c r="D183" s="117" t="s">
        <v>193</v>
      </c>
      <c r="E183" s="117" t="s">
        <v>183</v>
      </c>
      <c r="F183" s="3" t="s">
        <v>341</v>
      </c>
      <c r="G183" s="110"/>
      <c r="H183" s="110">
        <v>0.17421981058788405</v>
      </c>
      <c r="I183" s="3"/>
      <c r="J183" s="110"/>
      <c r="K183" s="110"/>
      <c r="L183" s="110"/>
      <c r="M183" s="110"/>
    </row>
    <row r="184" spans="1:13" x14ac:dyDescent="0.35">
      <c r="A184" s="117" t="s">
        <v>180</v>
      </c>
      <c r="B184" s="117" t="s">
        <v>265</v>
      </c>
      <c r="C184" s="117" t="b">
        <v>1</v>
      </c>
      <c r="D184" s="117" t="s">
        <v>193</v>
      </c>
      <c r="E184" s="117" t="s">
        <v>187</v>
      </c>
      <c r="F184" s="3" t="s">
        <v>342</v>
      </c>
      <c r="G184" s="110"/>
      <c r="H184" s="110">
        <v>0.75934212623525432</v>
      </c>
      <c r="I184" s="3"/>
      <c r="J184" s="110"/>
      <c r="K184" s="110"/>
      <c r="L184" s="110"/>
      <c r="M184" s="110"/>
    </row>
    <row r="185" spans="1:13" x14ac:dyDescent="0.35">
      <c r="A185" s="117" t="s">
        <v>180</v>
      </c>
      <c r="B185" s="117" t="s">
        <v>265</v>
      </c>
      <c r="C185" s="117" t="b">
        <v>0</v>
      </c>
      <c r="D185" s="117" t="s">
        <v>193</v>
      </c>
      <c r="E185" s="117" t="s">
        <v>190</v>
      </c>
      <c r="F185" s="3" t="s">
        <v>343</v>
      </c>
      <c r="G185" s="110"/>
      <c r="H185" s="110">
        <v>1.2480651477820437</v>
      </c>
      <c r="I185" s="3"/>
      <c r="J185" s="110"/>
      <c r="K185" s="110"/>
      <c r="L185" s="110"/>
      <c r="M185" s="110"/>
    </row>
    <row r="186" spans="1:13" x14ac:dyDescent="0.35">
      <c r="A186" s="117" t="s">
        <v>344</v>
      </c>
      <c r="B186" s="117" t="s">
        <v>344</v>
      </c>
      <c r="C186" s="117" t="s">
        <v>344</v>
      </c>
      <c r="D186" s="117" t="s">
        <v>344</v>
      </c>
      <c r="E186" s="109" t="s">
        <v>345</v>
      </c>
      <c r="F186" s="3" t="str">
        <f>"|"&amp;"|"&amp;"|"&amp;E186</f>
        <v>|||Greenspace</v>
      </c>
      <c r="G186" s="118"/>
      <c r="H186" s="110">
        <v>0.02</v>
      </c>
      <c r="I186" s="3"/>
      <c r="J186" s="3"/>
      <c r="K186" s="3"/>
      <c r="L186" s="3"/>
      <c r="M186" s="3"/>
    </row>
    <row r="187" spans="1:13" x14ac:dyDescent="0.35">
      <c r="A187" s="117" t="s">
        <v>344</v>
      </c>
      <c r="B187" s="117" t="s">
        <v>344</v>
      </c>
      <c r="C187" s="117" t="s">
        <v>344</v>
      </c>
      <c r="D187" s="117" t="s">
        <v>344</v>
      </c>
      <c r="E187" s="109" t="s">
        <v>346</v>
      </c>
      <c r="F187" s="3" t="str">
        <f>"|"&amp;"|"&amp;"|"&amp;E187</f>
        <v>|||Community food growing</v>
      </c>
      <c r="G187" s="110"/>
      <c r="H187" s="116">
        <f>IFERROR(VLOOKUP((VLOOKUP(Nutrients_from_current_land_use!$B$5,Value_look_up_tables!$A$223:$B$223,2,FALSE)&amp;"|"&amp;"General"&amp;"|"&amp;"FALSE"&amp;"|"&amp;VLOOKUP(Nutrients_from_current_land_use!$B$7,Value_look_up_tables!$A$197:$C$219,3,FALSE)&amp;"|"&amp;"FreeDrain"),$F$52:$H$185,3,FALSE), IFERROR(VLOOKUP("General"&amp;"|"&amp;VLOOKUP(Nutrients_from_current_land_use!$B$7,Value_look_up_tables!$A$197:$C$219,3,FALSE),$I$52:$M$185,3,FALSE),VLOOKUP("General",$B$52:$M$185,12,FALSE)))</f>
        <v>0.52038740372938774</v>
      </c>
      <c r="I187" s="3"/>
      <c r="J187" s="3"/>
      <c r="K187" s="3"/>
      <c r="L187" s="3"/>
      <c r="M187" s="3"/>
    </row>
    <row r="188" spans="1:13" x14ac:dyDescent="0.35">
      <c r="A188" s="117" t="s">
        <v>344</v>
      </c>
      <c r="B188" s="117" t="s">
        <v>344</v>
      </c>
      <c r="C188" s="117" t="s">
        <v>344</v>
      </c>
      <c r="D188" s="117" t="s">
        <v>344</v>
      </c>
      <c r="E188" s="109" t="s">
        <v>347</v>
      </c>
      <c r="F188" s="3" t="str">
        <f>"|"&amp;"|"&amp;"|"&amp;E188</f>
        <v>|||Woodland</v>
      </c>
      <c r="G188" s="118"/>
      <c r="H188" s="110">
        <v>0.02</v>
      </c>
      <c r="I188" s="3"/>
      <c r="J188" s="3"/>
      <c r="K188" s="3"/>
      <c r="L188" s="3"/>
      <c r="M188" s="3"/>
    </row>
    <row r="189" spans="1:13" x14ac:dyDescent="0.35">
      <c r="A189" s="117" t="s">
        <v>344</v>
      </c>
      <c r="B189" s="117" t="s">
        <v>344</v>
      </c>
      <c r="C189" s="117" t="s">
        <v>344</v>
      </c>
      <c r="D189" s="117" t="s">
        <v>344</v>
      </c>
      <c r="E189" s="109" t="s">
        <v>348</v>
      </c>
      <c r="F189" s="3" t="str">
        <f>"|"&amp;"|"&amp;"|"&amp;E189</f>
        <v>|||Shrub</v>
      </c>
      <c r="G189" s="118"/>
      <c r="H189" s="110">
        <v>0.02</v>
      </c>
      <c r="I189" s="3"/>
      <c r="J189" s="3"/>
      <c r="K189" s="3"/>
      <c r="L189" s="3"/>
      <c r="M189" s="3"/>
    </row>
    <row r="190" spans="1:13" x14ac:dyDescent="0.35">
      <c r="A190" s="117" t="s">
        <v>344</v>
      </c>
      <c r="B190" s="117" t="s">
        <v>344</v>
      </c>
      <c r="C190" s="117" t="s">
        <v>344</v>
      </c>
      <c r="D190" s="117" t="s">
        <v>344</v>
      </c>
      <c r="E190" s="109" t="s">
        <v>349</v>
      </c>
      <c r="F190" s="3" t="str">
        <f>"|"&amp;"|"&amp;"|"&amp;E190</f>
        <v>|||Water</v>
      </c>
      <c r="G190" s="118"/>
      <c r="H190" s="110">
        <v>0</v>
      </c>
      <c r="I190" s="3"/>
      <c r="J190" s="3"/>
      <c r="K190" s="3"/>
      <c r="L190" s="3"/>
      <c r="M190" s="3"/>
    </row>
    <row r="191" spans="1:13" x14ac:dyDescent="0.35">
      <c r="A191" s="117" t="s">
        <v>344</v>
      </c>
      <c r="B191" s="117" t="s">
        <v>344</v>
      </c>
      <c r="C191" s="117" t="s">
        <v>344</v>
      </c>
      <c r="D191" s="117" t="s">
        <v>344</v>
      </c>
      <c r="E191" s="3" t="s">
        <v>350</v>
      </c>
      <c r="F191" s="3" t="str">
        <f t="shared" ref="F191:F193" si="0">"|"&amp;"|"&amp;"|"&amp;E191</f>
        <v>|||Residential urban land</v>
      </c>
      <c r="G191" s="110"/>
      <c r="H191" s="110" t="e">
        <f>VLOOKUP(Nutrients_from_current_land_use!B7,Value_look_up_tables!A197:I219,9,FALSE)</f>
        <v>#N/A</v>
      </c>
      <c r="I191" s="3"/>
      <c r="J191" s="3"/>
      <c r="K191" s="3"/>
      <c r="L191" s="3"/>
      <c r="M191" s="3"/>
    </row>
    <row r="192" spans="1:13" ht="31" x14ac:dyDescent="0.35">
      <c r="A192" s="117" t="s">
        <v>344</v>
      </c>
      <c r="B192" s="117" t="s">
        <v>344</v>
      </c>
      <c r="C192" s="117" t="s">
        <v>344</v>
      </c>
      <c r="D192" s="117" t="s">
        <v>344</v>
      </c>
      <c r="E192" s="3" t="s">
        <v>351</v>
      </c>
      <c r="F192" s="3" t="str">
        <f t="shared" si="0"/>
        <v>|||Commercial/industrial urban land</v>
      </c>
      <c r="G192" s="110"/>
      <c r="H192" s="110" t="e">
        <f>VLOOKUP(Nutrients_from_current_land_use!B7,Value_look_up_tables!A197:K219,10,FALSE)</f>
        <v>#N/A</v>
      </c>
      <c r="I192" s="3"/>
      <c r="J192" s="3"/>
      <c r="K192" s="3"/>
      <c r="L192" s="3"/>
      <c r="M192" s="3"/>
    </row>
    <row r="193" spans="1:13" x14ac:dyDescent="0.35">
      <c r="A193" s="117" t="s">
        <v>344</v>
      </c>
      <c r="B193" s="117" t="s">
        <v>344</v>
      </c>
      <c r="C193" s="117" t="s">
        <v>344</v>
      </c>
      <c r="D193" s="117" t="s">
        <v>344</v>
      </c>
      <c r="E193" s="3" t="s">
        <v>352</v>
      </c>
      <c r="F193" s="3" t="str">
        <f t="shared" si="0"/>
        <v>|||Open urban land</v>
      </c>
      <c r="G193" s="110"/>
      <c r="H193" s="110" t="e">
        <f>VLOOKUP(Nutrients_from_current_land_use!B7,Value_look_up_tables!A197:N219,11,FALSE)</f>
        <v>#N/A</v>
      </c>
      <c r="I193" s="3"/>
      <c r="J193" s="3"/>
      <c r="K193" s="3"/>
      <c r="L193" s="3"/>
      <c r="M193" s="3"/>
    </row>
    <row r="194" spans="1:13" x14ac:dyDescent="0.35">
      <c r="A194" s="3"/>
      <c r="B194" s="3"/>
      <c r="C194" s="3"/>
      <c r="D194" s="3"/>
      <c r="E194" s="3"/>
      <c r="F194" s="3"/>
      <c r="G194" s="110"/>
      <c r="H194" s="110"/>
      <c r="I194" s="3"/>
      <c r="J194" s="3"/>
      <c r="K194" s="3"/>
      <c r="L194" s="3"/>
      <c r="M194" s="3"/>
    </row>
    <row r="195" spans="1:13" s="108" customFormat="1" ht="37.5" customHeight="1" x14ac:dyDescent="0.35">
      <c r="A195" s="105" t="s">
        <v>353</v>
      </c>
      <c r="B195" s="112"/>
      <c r="C195" s="112"/>
      <c r="D195" s="112"/>
      <c r="E195" s="112"/>
      <c r="F195" s="112"/>
      <c r="G195" s="111"/>
      <c r="H195" s="111"/>
      <c r="I195" s="112"/>
      <c r="J195" s="112"/>
      <c r="K195" s="112"/>
      <c r="L195" s="112"/>
      <c r="M195" s="112"/>
    </row>
    <row r="196" spans="1:13" ht="77.5" x14ac:dyDescent="0.35">
      <c r="A196" s="22" t="s">
        <v>354</v>
      </c>
      <c r="B196" s="22" t="s">
        <v>355</v>
      </c>
      <c r="C196" s="22" t="s">
        <v>356</v>
      </c>
      <c r="D196" s="22" t="s">
        <v>357</v>
      </c>
      <c r="E196" s="22" t="s">
        <v>358</v>
      </c>
      <c r="F196" s="22" t="s">
        <v>359</v>
      </c>
      <c r="G196" s="22" t="s">
        <v>360</v>
      </c>
      <c r="H196" s="22" t="s">
        <v>361</v>
      </c>
      <c r="I196" s="22" t="s">
        <v>362</v>
      </c>
      <c r="J196" s="22" t="s">
        <v>363</v>
      </c>
      <c r="K196" s="22" t="s">
        <v>364</v>
      </c>
      <c r="L196" s="22"/>
      <c r="M196" s="22"/>
    </row>
    <row r="197" spans="1:13" x14ac:dyDescent="0.35">
      <c r="A197" s="2" t="s">
        <v>365</v>
      </c>
      <c r="B197" s="116">
        <v>516.5</v>
      </c>
      <c r="C197" s="2" t="s">
        <v>366</v>
      </c>
      <c r="D197" s="116">
        <v>47.366326420209788</v>
      </c>
      <c r="E197" s="116">
        <v>63.946326420209786</v>
      </c>
      <c r="F197" s="116">
        <v>1.0030530114375726</v>
      </c>
      <c r="G197" s="116">
        <v>0.73394122788115068</v>
      </c>
      <c r="H197" s="116">
        <v>0.5382235671128438</v>
      </c>
      <c r="I197" s="116">
        <v>1.0030530114375726</v>
      </c>
      <c r="J197" s="116">
        <v>0.73394122788115068</v>
      </c>
      <c r="K197" s="116">
        <v>0.5382235671128438</v>
      </c>
      <c r="L197" s="116"/>
      <c r="M197" s="116"/>
    </row>
    <row r="198" spans="1:13" x14ac:dyDescent="0.35">
      <c r="A198" s="2" t="s">
        <v>367</v>
      </c>
      <c r="B198" s="116">
        <v>537.54999999999995</v>
      </c>
      <c r="C198" s="2" t="s">
        <v>366</v>
      </c>
      <c r="D198" s="116">
        <v>47.605509573313697</v>
      </c>
      <c r="E198" s="116">
        <v>64.185509573313695</v>
      </c>
      <c r="F198" s="116">
        <v>1.049204008516526</v>
      </c>
      <c r="G198" s="116">
        <v>0.76771025013404326</v>
      </c>
      <c r="H198" s="116">
        <v>0.56298751676496517</v>
      </c>
      <c r="I198" s="116">
        <v>1.049204008516526</v>
      </c>
      <c r="J198" s="116">
        <v>0.76771025013404326</v>
      </c>
      <c r="K198" s="116">
        <v>0.56298751676496517</v>
      </c>
      <c r="L198" s="116"/>
      <c r="M198" s="116"/>
    </row>
    <row r="199" spans="1:13" x14ac:dyDescent="0.35">
      <c r="A199" s="2" t="s">
        <v>368</v>
      </c>
      <c r="B199" s="116">
        <v>562.54999999999995</v>
      </c>
      <c r="C199" s="2" t="s">
        <v>366</v>
      </c>
      <c r="D199" s="116">
        <v>47.8624816470968</v>
      </c>
      <c r="E199" s="116">
        <v>64.442481647096798</v>
      </c>
      <c r="F199" s="116">
        <v>1.1039266010735462</v>
      </c>
      <c r="G199" s="116">
        <v>0.80775117151722908</v>
      </c>
      <c r="H199" s="116">
        <v>0.59235085911263463</v>
      </c>
      <c r="I199" s="116">
        <v>1.1039266010735462</v>
      </c>
      <c r="J199" s="116">
        <v>0.80775117151722908</v>
      </c>
      <c r="K199" s="116">
        <v>0.59235085911263463</v>
      </c>
      <c r="L199" s="116"/>
      <c r="M199" s="116"/>
    </row>
    <row r="200" spans="1:13" x14ac:dyDescent="0.35">
      <c r="A200" s="2" t="s">
        <v>369</v>
      </c>
      <c r="B200" s="116">
        <v>587.54999999999995</v>
      </c>
      <c r="C200" s="2" t="s">
        <v>366</v>
      </c>
      <c r="D200" s="116">
        <v>48.089720428979902</v>
      </c>
      <c r="E200" s="116">
        <v>64.6697204289799</v>
      </c>
      <c r="F200" s="116">
        <v>1.1584597247599329</v>
      </c>
      <c r="G200" s="116">
        <v>0.84765345714141427</v>
      </c>
      <c r="H200" s="116">
        <v>0.62161253523703719</v>
      </c>
      <c r="I200" s="116">
        <v>1.1584597247599329</v>
      </c>
      <c r="J200" s="116">
        <v>0.84765345714141427</v>
      </c>
      <c r="K200" s="116">
        <v>0.62161253523703719</v>
      </c>
      <c r="L200" s="116"/>
      <c r="M200" s="116"/>
    </row>
    <row r="201" spans="1:13" x14ac:dyDescent="0.35">
      <c r="A201" s="2" t="s">
        <v>370</v>
      </c>
      <c r="B201" s="116">
        <v>612.54999999999995</v>
      </c>
      <c r="C201" s="2" t="s">
        <v>371</v>
      </c>
      <c r="D201" s="116">
        <v>48.286892468962989</v>
      </c>
      <c r="E201" s="116">
        <v>64.866892468962988</v>
      </c>
      <c r="F201" s="116">
        <v>1.2127035752563942</v>
      </c>
      <c r="G201" s="116">
        <v>0.88734407945589822</v>
      </c>
      <c r="H201" s="116">
        <v>0.650718991600992</v>
      </c>
      <c r="I201" s="116">
        <v>1.2127035752563942</v>
      </c>
      <c r="J201" s="116">
        <v>0.88734407945589822</v>
      </c>
      <c r="K201" s="116">
        <v>0.650718991600992</v>
      </c>
      <c r="L201" s="116"/>
      <c r="M201" s="116"/>
    </row>
    <row r="202" spans="1:13" x14ac:dyDescent="0.35">
      <c r="A202" s="2" t="s">
        <v>372</v>
      </c>
      <c r="B202" s="116">
        <v>637.54999999999995</v>
      </c>
      <c r="C202" s="2" t="s">
        <v>371</v>
      </c>
      <c r="D202" s="116">
        <v>48.453664317046091</v>
      </c>
      <c r="E202" s="116">
        <v>65.033664317046089</v>
      </c>
      <c r="F202" s="116">
        <v>1.2665569810986419</v>
      </c>
      <c r="G202" s="116">
        <v>0.92674901055998193</v>
      </c>
      <c r="H202" s="116">
        <v>0.67961594107732015</v>
      </c>
      <c r="I202" s="116">
        <v>1.2665569810986419</v>
      </c>
      <c r="J202" s="116">
        <v>0.92674901055998193</v>
      </c>
      <c r="K202" s="116">
        <v>0.67961594107732015</v>
      </c>
      <c r="L202" s="116"/>
      <c r="M202" s="116"/>
    </row>
    <row r="203" spans="1:13" x14ac:dyDescent="0.35">
      <c r="A203" s="2" t="s">
        <v>373</v>
      </c>
      <c r="B203" s="116">
        <v>662.55</v>
      </c>
      <c r="C203" s="2" t="s">
        <v>371</v>
      </c>
      <c r="D203" s="116">
        <v>48.589702523229192</v>
      </c>
      <c r="E203" s="116">
        <v>65.169702523229191</v>
      </c>
      <c r="F203" s="116">
        <v>1.3199174036773855</v>
      </c>
      <c r="G203" s="116">
        <v>0.96579322220296504</v>
      </c>
      <c r="H203" s="116">
        <v>0.70824836294884108</v>
      </c>
      <c r="I203" s="116">
        <v>1.3199174036773855</v>
      </c>
      <c r="J203" s="116">
        <v>0.96579322220296504</v>
      </c>
      <c r="K203" s="116">
        <v>0.70824836294884108</v>
      </c>
      <c r="L203" s="116"/>
      <c r="M203" s="116"/>
    </row>
    <row r="204" spans="1:13" x14ac:dyDescent="0.35">
      <c r="A204" s="2" t="s">
        <v>374</v>
      </c>
      <c r="B204" s="116">
        <v>687.55</v>
      </c>
      <c r="C204" s="2" t="s">
        <v>371</v>
      </c>
      <c r="D204" s="116">
        <v>48.694673637512295</v>
      </c>
      <c r="E204" s="116">
        <v>65.274673637512294</v>
      </c>
      <c r="F204" s="116">
        <v>1.3726809372383346</v>
      </c>
      <c r="G204" s="116">
        <v>1.0044006857841474</v>
      </c>
      <c r="H204" s="116">
        <v>0.73656050290837471</v>
      </c>
      <c r="I204" s="116">
        <v>1.3726809372383346</v>
      </c>
      <c r="J204" s="116">
        <v>1.0044006857841474</v>
      </c>
      <c r="K204" s="116">
        <v>0.73656050290837471</v>
      </c>
      <c r="L204" s="116"/>
      <c r="M204" s="116"/>
    </row>
    <row r="205" spans="1:13" x14ac:dyDescent="0.35">
      <c r="A205" s="2" t="s">
        <v>375</v>
      </c>
      <c r="B205" s="116">
        <v>725.05</v>
      </c>
      <c r="C205" s="2" t="s">
        <v>182</v>
      </c>
      <c r="D205" s="116">
        <v>48.793150089749446</v>
      </c>
      <c r="E205" s="116">
        <v>65.373150089749444</v>
      </c>
      <c r="F205" s="116">
        <v>1.4504764123754863</v>
      </c>
      <c r="G205" s="116">
        <v>1.0613242041771849</v>
      </c>
      <c r="H205" s="116">
        <v>0.77830441639660242</v>
      </c>
      <c r="I205" s="116">
        <v>1.4504764123754863</v>
      </c>
      <c r="J205" s="116">
        <v>1.0613242041771849</v>
      </c>
      <c r="K205" s="116">
        <v>0.77830441639660242</v>
      </c>
      <c r="L205" s="116"/>
      <c r="M205" s="116"/>
    </row>
    <row r="206" spans="1:13" x14ac:dyDescent="0.35">
      <c r="A206" s="2" t="s">
        <v>376</v>
      </c>
      <c r="B206" s="116">
        <v>775.05</v>
      </c>
      <c r="C206" s="2" t="s">
        <v>182</v>
      </c>
      <c r="D206" s="116">
        <v>48.817999999999984</v>
      </c>
      <c r="E206" s="116">
        <v>65.397999999999982</v>
      </c>
      <c r="F206" s="116">
        <v>1.5512920268999992</v>
      </c>
      <c r="G206" s="116">
        <v>1.1350917269999994</v>
      </c>
      <c r="H206" s="116">
        <v>0.83240059979999959</v>
      </c>
      <c r="I206" s="116">
        <v>1.5512920268999992</v>
      </c>
      <c r="J206" s="116">
        <v>1.1350917269999994</v>
      </c>
      <c r="K206" s="116">
        <v>0.83240059979999959</v>
      </c>
      <c r="L206" s="116"/>
      <c r="M206" s="116"/>
    </row>
    <row r="207" spans="1:13" x14ac:dyDescent="0.35">
      <c r="A207" s="2" t="s">
        <v>377</v>
      </c>
      <c r="B207" s="116">
        <v>825.05</v>
      </c>
      <c r="C207" s="2" t="s">
        <v>182</v>
      </c>
      <c r="D207" s="116">
        <v>48.817999999999984</v>
      </c>
      <c r="E207" s="116">
        <v>65.397999999999982</v>
      </c>
      <c r="F207" s="116">
        <v>1.6513689268999994</v>
      </c>
      <c r="G207" s="116">
        <v>1.2083187269999995</v>
      </c>
      <c r="H207" s="116">
        <v>0.88610039979999966</v>
      </c>
      <c r="I207" s="116">
        <v>1.6513689268999994</v>
      </c>
      <c r="J207" s="116">
        <v>1.2083187269999995</v>
      </c>
      <c r="K207" s="116">
        <v>0.88610039979999966</v>
      </c>
      <c r="L207" s="116"/>
      <c r="M207" s="116"/>
    </row>
    <row r="208" spans="1:13" x14ac:dyDescent="0.35">
      <c r="A208" s="2" t="s">
        <v>378</v>
      </c>
      <c r="B208" s="116">
        <v>875.05</v>
      </c>
      <c r="C208" s="2" t="s">
        <v>182</v>
      </c>
      <c r="D208" s="116">
        <v>48.817999999999984</v>
      </c>
      <c r="E208" s="116">
        <v>65.397999999999982</v>
      </c>
      <c r="F208" s="116">
        <v>1.7514458268999995</v>
      </c>
      <c r="G208" s="116">
        <v>1.2815457269999997</v>
      </c>
      <c r="H208" s="116">
        <v>0.93980019979999974</v>
      </c>
      <c r="I208" s="116">
        <v>1.7514458268999995</v>
      </c>
      <c r="J208" s="116">
        <v>1.2815457269999997</v>
      </c>
      <c r="K208" s="116">
        <v>0.93980019979999974</v>
      </c>
      <c r="L208" s="116"/>
      <c r="M208" s="116"/>
    </row>
    <row r="209" spans="1:13" x14ac:dyDescent="0.35">
      <c r="A209" s="2" t="s">
        <v>379</v>
      </c>
      <c r="B209" s="116">
        <v>925.05</v>
      </c>
      <c r="C209" s="2" t="s">
        <v>193</v>
      </c>
      <c r="D209" s="116">
        <v>48.817999999999984</v>
      </c>
      <c r="E209" s="116">
        <v>65.397999999999982</v>
      </c>
      <c r="F209" s="116">
        <v>1.851522726899999</v>
      </c>
      <c r="G209" s="116">
        <v>1.3547727269999992</v>
      </c>
      <c r="H209" s="116">
        <v>0.99349999979999948</v>
      </c>
      <c r="I209" s="116">
        <v>1.851522726899999</v>
      </c>
      <c r="J209" s="116">
        <v>1.3547727269999992</v>
      </c>
      <c r="K209" s="116">
        <v>0.99349999979999948</v>
      </c>
      <c r="L209" s="116"/>
      <c r="M209" s="116"/>
    </row>
    <row r="210" spans="1:13" x14ac:dyDescent="0.35">
      <c r="A210" s="2" t="s">
        <v>380</v>
      </c>
      <c r="B210" s="116">
        <v>975.05</v>
      </c>
      <c r="C210" s="2" t="s">
        <v>193</v>
      </c>
      <c r="D210" s="116">
        <v>48.817999999999984</v>
      </c>
      <c r="E210" s="116">
        <v>65.397999999999982</v>
      </c>
      <c r="F210" s="116">
        <v>1.9515996268999991</v>
      </c>
      <c r="G210" s="116">
        <v>1.4279997269999993</v>
      </c>
      <c r="H210" s="116">
        <v>1.0471997997999996</v>
      </c>
      <c r="I210" s="116">
        <v>1.9515996268999991</v>
      </c>
      <c r="J210" s="116">
        <v>1.4279997269999993</v>
      </c>
      <c r="K210" s="116">
        <v>1.0471997997999996</v>
      </c>
      <c r="L210" s="116"/>
      <c r="M210" s="116"/>
    </row>
    <row r="211" spans="1:13" x14ac:dyDescent="0.35">
      <c r="A211" s="2" t="s">
        <v>381</v>
      </c>
      <c r="B211" s="116">
        <v>1050.05</v>
      </c>
      <c r="C211" s="2" t="s">
        <v>193</v>
      </c>
      <c r="D211" s="116">
        <v>48.817999999999984</v>
      </c>
      <c r="E211" s="116">
        <v>65.397999999999982</v>
      </c>
      <c r="F211" s="116">
        <v>2.101714976899999</v>
      </c>
      <c r="G211" s="116">
        <v>1.5378402269999993</v>
      </c>
      <c r="H211" s="116">
        <v>1.1277494997999997</v>
      </c>
      <c r="I211" s="116">
        <v>2.101714976899999</v>
      </c>
      <c r="J211" s="116">
        <v>1.5378402269999993</v>
      </c>
      <c r="K211" s="116">
        <v>1.1277494997999997</v>
      </c>
      <c r="L211" s="116"/>
      <c r="M211" s="116"/>
    </row>
    <row r="212" spans="1:13" x14ac:dyDescent="0.35">
      <c r="A212" s="2" t="s">
        <v>382</v>
      </c>
      <c r="B212" s="116">
        <v>1150.05</v>
      </c>
      <c r="C212" s="2" t="s">
        <v>193</v>
      </c>
      <c r="D212" s="116">
        <v>48.817999999999984</v>
      </c>
      <c r="E212" s="116">
        <v>65.397999999999982</v>
      </c>
      <c r="F212" s="116">
        <v>2.3018687768999988</v>
      </c>
      <c r="G212" s="116">
        <v>1.6842942269999992</v>
      </c>
      <c r="H212" s="116">
        <v>1.2351490997999994</v>
      </c>
      <c r="I212" s="116">
        <v>2.3018687768999988</v>
      </c>
      <c r="J212" s="116">
        <v>1.6842942269999992</v>
      </c>
      <c r="K212" s="116">
        <v>1.2351490997999994</v>
      </c>
      <c r="L212" s="116"/>
      <c r="M212" s="116"/>
    </row>
    <row r="213" spans="1:13" x14ac:dyDescent="0.35">
      <c r="A213" s="2" t="s">
        <v>383</v>
      </c>
      <c r="B213" s="116">
        <v>1300.05</v>
      </c>
      <c r="C213" s="2" t="s">
        <v>384</v>
      </c>
      <c r="D213" s="116">
        <v>48.817999999999984</v>
      </c>
      <c r="E213" s="116">
        <v>65.397999999999982</v>
      </c>
      <c r="F213" s="116">
        <v>2.602099476899999</v>
      </c>
      <c r="G213" s="116">
        <v>1.9039752269999992</v>
      </c>
      <c r="H213" s="116">
        <v>1.3962484997999995</v>
      </c>
      <c r="I213" s="116">
        <v>2.602099476899999</v>
      </c>
      <c r="J213" s="116">
        <v>1.9039752269999992</v>
      </c>
      <c r="K213" s="116">
        <v>1.3962484997999995</v>
      </c>
      <c r="L213" s="116"/>
      <c r="M213" s="116"/>
    </row>
    <row r="214" spans="1:13" x14ac:dyDescent="0.35">
      <c r="A214" s="2" t="s">
        <v>385</v>
      </c>
      <c r="B214" s="116">
        <v>1500.05</v>
      </c>
      <c r="C214" s="2" t="s">
        <v>384</v>
      </c>
      <c r="D214" s="116">
        <v>48.817999999999984</v>
      </c>
      <c r="E214" s="116">
        <v>65.397999999999982</v>
      </c>
      <c r="F214" s="116">
        <v>3.0024070768999986</v>
      </c>
      <c r="G214" s="116">
        <v>2.1968832269999989</v>
      </c>
      <c r="H214" s="116">
        <v>1.6110476997999994</v>
      </c>
      <c r="I214" s="116">
        <v>3.0024070768999986</v>
      </c>
      <c r="J214" s="116">
        <v>2.1968832269999989</v>
      </c>
      <c r="K214" s="116">
        <v>1.6110476997999994</v>
      </c>
      <c r="L214" s="116"/>
      <c r="M214" s="116"/>
    </row>
    <row r="215" spans="1:13" x14ac:dyDescent="0.35">
      <c r="A215" s="2" t="s">
        <v>386</v>
      </c>
      <c r="B215" s="116">
        <v>1800.05</v>
      </c>
      <c r="C215" s="2" t="s">
        <v>387</v>
      </c>
      <c r="D215" s="116">
        <v>48.817999999999984</v>
      </c>
      <c r="E215" s="116">
        <v>65.397999999999982</v>
      </c>
      <c r="F215" s="116">
        <v>3.6028684768999981</v>
      </c>
      <c r="G215" s="116">
        <v>2.6362452269999985</v>
      </c>
      <c r="H215" s="116">
        <v>1.9332464997999992</v>
      </c>
      <c r="I215" s="116">
        <v>3.6028684768999981</v>
      </c>
      <c r="J215" s="116">
        <v>2.6362452269999985</v>
      </c>
      <c r="K215" s="116">
        <v>1.9332464997999992</v>
      </c>
      <c r="L215" s="116"/>
      <c r="M215" s="116"/>
    </row>
    <row r="216" spans="1:13" x14ac:dyDescent="0.35">
      <c r="A216" s="2" t="s">
        <v>388</v>
      </c>
      <c r="B216" s="116">
        <v>2200.0500000000002</v>
      </c>
      <c r="C216" s="2" t="s">
        <v>387</v>
      </c>
      <c r="D216" s="116">
        <v>48.817999999999984</v>
      </c>
      <c r="E216" s="116">
        <v>65.397999999999982</v>
      </c>
      <c r="F216" s="116">
        <v>4.4034836768999988</v>
      </c>
      <c r="G216" s="116">
        <v>3.2220612269999993</v>
      </c>
      <c r="H216" s="116">
        <v>2.3628448997999998</v>
      </c>
      <c r="I216" s="116">
        <v>4.4034836768999988</v>
      </c>
      <c r="J216" s="116">
        <v>3.2220612269999993</v>
      </c>
      <c r="K216" s="116">
        <v>2.3628448997999998</v>
      </c>
      <c r="L216" s="116"/>
      <c r="M216" s="116"/>
    </row>
    <row r="217" spans="1:13" x14ac:dyDescent="0.35">
      <c r="A217" s="2" t="s">
        <v>389</v>
      </c>
      <c r="B217" s="116">
        <v>2700.05</v>
      </c>
      <c r="C217" s="2" t="s">
        <v>387</v>
      </c>
      <c r="D217" s="116">
        <v>48.817999999999984</v>
      </c>
      <c r="E217" s="116">
        <v>65.397999999999982</v>
      </c>
      <c r="F217" s="116">
        <v>5.4042526768999988</v>
      </c>
      <c r="G217" s="116">
        <v>3.9543312269999986</v>
      </c>
      <c r="H217" s="116">
        <v>2.8998428997999994</v>
      </c>
      <c r="I217" s="116">
        <v>5.4042526768999988</v>
      </c>
      <c r="J217" s="116">
        <v>3.9543312269999986</v>
      </c>
      <c r="K217" s="116">
        <v>2.8998428997999994</v>
      </c>
      <c r="L217" s="116"/>
      <c r="M217" s="116"/>
    </row>
    <row r="218" spans="1:13" x14ac:dyDescent="0.35">
      <c r="A218" s="2" t="s">
        <v>390</v>
      </c>
      <c r="B218" s="116">
        <v>3500.05</v>
      </c>
      <c r="C218" s="2" t="s">
        <v>387</v>
      </c>
      <c r="D218" s="116">
        <v>48.817999999999984</v>
      </c>
      <c r="E218" s="116">
        <v>65.397999999999982</v>
      </c>
      <c r="F218" s="116">
        <v>7.0054830768999983</v>
      </c>
      <c r="G218" s="116">
        <v>5.1259632269999988</v>
      </c>
      <c r="H218" s="116">
        <v>3.7590396997999993</v>
      </c>
      <c r="I218" s="116">
        <v>7.0054830768999983</v>
      </c>
      <c r="J218" s="116">
        <v>5.1259632269999988</v>
      </c>
      <c r="K218" s="116">
        <v>3.7590396997999993</v>
      </c>
      <c r="L218" s="116"/>
      <c r="M218" s="116"/>
    </row>
    <row r="219" spans="1:13" x14ac:dyDescent="0.35">
      <c r="A219" s="2" t="s">
        <v>391</v>
      </c>
      <c r="B219" s="116">
        <v>4750.05</v>
      </c>
      <c r="C219" s="2" t="s">
        <v>387</v>
      </c>
      <c r="D219" s="116">
        <v>48.817999999999984</v>
      </c>
      <c r="E219" s="116">
        <v>65.397999999999982</v>
      </c>
      <c r="F219" s="116">
        <v>9.5074055768999965</v>
      </c>
      <c r="G219" s="116">
        <v>6.9566382269999973</v>
      </c>
      <c r="H219" s="116">
        <v>5.1015346997999984</v>
      </c>
      <c r="I219" s="116">
        <v>9.5074055768999965</v>
      </c>
      <c r="J219" s="116">
        <v>6.9566382269999973</v>
      </c>
      <c r="K219" s="116">
        <v>5.1015346997999984</v>
      </c>
      <c r="L219" s="116"/>
      <c r="M219" s="116"/>
    </row>
    <row r="220" spans="1:13" x14ac:dyDescent="0.35">
      <c r="A220" s="3"/>
      <c r="B220" s="3"/>
      <c r="C220" s="3"/>
      <c r="D220" s="3"/>
      <c r="E220" s="3"/>
      <c r="F220" s="3"/>
      <c r="G220" s="110"/>
      <c r="H220" s="110"/>
      <c r="I220" s="3"/>
      <c r="J220" s="3"/>
      <c r="K220" s="3"/>
      <c r="L220" s="3"/>
      <c r="M220" s="3"/>
    </row>
    <row r="221" spans="1:13" s="108" customFormat="1" ht="37.5" customHeight="1" x14ac:dyDescent="0.35">
      <c r="A221" s="105" t="s">
        <v>392</v>
      </c>
      <c r="B221" s="112"/>
      <c r="C221" s="112"/>
      <c r="D221" s="112"/>
      <c r="F221" s="112"/>
      <c r="H221" s="111"/>
      <c r="J221" s="112"/>
      <c r="K221" s="112"/>
      <c r="L221" s="112"/>
      <c r="M221" s="112"/>
    </row>
    <row r="222" spans="1:13" ht="31" x14ac:dyDescent="0.35">
      <c r="A222" s="22" t="s">
        <v>393</v>
      </c>
      <c r="B222" s="22" t="s">
        <v>394</v>
      </c>
      <c r="C222" s="3"/>
      <c r="D222" s="3"/>
      <c r="F222" s="3"/>
      <c r="H222" s="110"/>
      <c r="J222" s="3"/>
      <c r="K222" s="3"/>
      <c r="L222" s="3"/>
      <c r="M222" s="3"/>
    </row>
    <row r="223" spans="1:13" ht="31" x14ac:dyDescent="0.35">
      <c r="A223" s="3" t="s">
        <v>180</v>
      </c>
      <c r="B223" s="3" t="s">
        <v>180</v>
      </c>
      <c r="C223" s="3"/>
      <c r="D223" s="3"/>
      <c r="F223" s="3"/>
      <c r="H223" s="110"/>
      <c r="J223" s="3"/>
      <c r="K223" s="3"/>
      <c r="L223" s="3"/>
      <c r="M223" s="3"/>
    </row>
    <row r="224" spans="1:13" x14ac:dyDescent="0.35">
      <c r="A224" s="3"/>
      <c r="B224" s="3"/>
      <c r="C224" s="3"/>
      <c r="D224" s="3"/>
      <c r="F224" s="3"/>
      <c r="H224" s="110"/>
      <c r="I224" s="3"/>
      <c r="J224" s="3"/>
      <c r="K224" s="3"/>
      <c r="L224" s="3"/>
      <c r="M224" s="3"/>
    </row>
    <row r="225" spans="1:13" s="108" customFormat="1" ht="37.5" customHeight="1" x14ac:dyDescent="0.35">
      <c r="A225" s="105" t="s">
        <v>395</v>
      </c>
      <c r="B225" s="112"/>
      <c r="C225" s="112"/>
      <c r="D225" s="112"/>
      <c r="F225" s="115"/>
      <c r="H225" s="112"/>
      <c r="I225" s="112"/>
      <c r="J225" s="112"/>
      <c r="K225" s="112"/>
      <c r="L225" s="112"/>
      <c r="M225" s="112"/>
    </row>
    <row r="226" spans="1:13" ht="31" x14ac:dyDescent="0.35">
      <c r="A226" s="22" t="s">
        <v>396</v>
      </c>
      <c r="B226" s="22" t="s">
        <v>397</v>
      </c>
      <c r="C226" s="22" t="s">
        <v>398</v>
      </c>
      <c r="D226" s="3"/>
      <c r="F226" s="3"/>
      <c r="H226" s="3"/>
      <c r="I226" s="3"/>
      <c r="J226" s="3"/>
      <c r="K226" s="3"/>
      <c r="L226" s="3"/>
      <c r="M226" s="3"/>
    </row>
    <row r="227" spans="1:13" x14ac:dyDescent="0.35">
      <c r="A227" s="114" t="s">
        <v>399</v>
      </c>
      <c r="B227" s="3" t="s">
        <v>183</v>
      </c>
      <c r="C227" s="3" t="s">
        <v>400</v>
      </c>
      <c r="D227" s="3"/>
      <c r="F227" s="3"/>
      <c r="H227" s="3"/>
      <c r="I227" s="3"/>
      <c r="J227" s="3"/>
      <c r="K227" s="3"/>
      <c r="L227" s="3"/>
      <c r="M227" s="3"/>
    </row>
    <row r="228" spans="1:13" ht="31" x14ac:dyDescent="0.35">
      <c r="A228" s="114" t="s">
        <v>401</v>
      </c>
      <c r="B228" s="3" t="s">
        <v>187</v>
      </c>
      <c r="C228" s="3" t="s">
        <v>402</v>
      </c>
      <c r="D228" s="3"/>
      <c r="F228" s="3"/>
      <c r="H228" s="3"/>
      <c r="I228" s="3"/>
      <c r="J228" s="3"/>
      <c r="K228" s="3"/>
      <c r="L228" s="3"/>
      <c r="M228" s="3"/>
    </row>
    <row r="229" spans="1:13" ht="46.5" x14ac:dyDescent="0.35">
      <c r="A229" s="114" t="s">
        <v>403</v>
      </c>
      <c r="B229" s="3" t="s">
        <v>190</v>
      </c>
      <c r="C229" s="3" t="s">
        <v>404</v>
      </c>
      <c r="D229" s="3"/>
      <c r="F229" s="3"/>
      <c r="H229" s="3"/>
      <c r="I229" s="3"/>
      <c r="J229" s="3"/>
      <c r="K229" s="3"/>
      <c r="L229" s="3"/>
      <c r="M229" s="3"/>
    </row>
    <row r="230" spans="1:13" ht="31" x14ac:dyDescent="0.35">
      <c r="A230" s="3" t="s">
        <v>405</v>
      </c>
      <c r="B230" s="3" t="s">
        <v>187</v>
      </c>
      <c r="C230" s="3" t="s">
        <v>402</v>
      </c>
      <c r="D230" s="3"/>
      <c r="F230" s="3"/>
      <c r="H230" s="3"/>
      <c r="I230" s="3"/>
      <c r="J230" s="3"/>
      <c r="K230" s="3"/>
      <c r="L230" s="3"/>
      <c r="M230" s="3"/>
    </row>
    <row r="231" spans="1:13" ht="31" x14ac:dyDescent="0.35">
      <c r="A231" s="3" t="s">
        <v>406</v>
      </c>
      <c r="B231" s="3" t="s">
        <v>187</v>
      </c>
      <c r="C231" s="3" t="s">
        <v>402</v>
      </c>
      <c r="D231" s="3"/>
      <c r="F231" s="3"/>
      <c r="H231" s="3"/>
      <c r="I231" s="109"/>
      <c r="J231" s="3"/>
      <c r="K231" s="3"/>
      <c r="L231" s="3"/>
      <c r="M231" s="3"/>
    </row>
    <row r="232" spans="1:13" ht="31" x14ac:dyDescent="0.35">
      <c r="A232" s="114" t="s">
        <v>407</v>
      </c>
      <c r="B232" s="3" t="s">
        <v>187</v>
      </c>
      <c r="C232" s="3" t="s">
        <v>402</v>
      </c>
      <c r="D232" s="3"/>
      <c r="F232" s="3"/>
      <c r="H232" s="3"/>
      <c r="I232" s="109"/>
      <c r="J232" s="3"/>
      <c r="K232" s="3"/>
      <c r="L232" s="3"/>
      <c r="M232" s="3"/>
    </row>
    <row r="233" spans="1:13" x14ac:dyDescent="0.35">
      <c r="A233" s="3"/>
      <c r="B233" s="110"/>
      <c r="C233" s="3"/>
      <c r="D233" s="3"/>
      <c r="F233" s="3"/>
      <c r="H233" s="3"/>
      <c r="I233" s="109"/>
      <c r="J233" s="3"/>
      <c r="K233" s="3"/>
      <c r="L233" s="3"/>
      <c r="M233" s="3"/>
    </row>
    <row r="234" spans="1:13" s="108" customFormat="1" ht="37.5" customHeight="1" x14ac:dyDescent="0.35">
      <c r="A234" s="105" t="s">
        <v>408</v>
      </c>
      <c r="B234" s="111"/>
      <c r="C234" s="112"/>
      <c r="D234" s="112"/>
      <c r="F234" s="112"/>
      <c r="H234" s="112"/>
      <c r="I234" s="113"/>
      <c r="J234" s="112"/>
      <c r="K234" s="112"/>
      <c r="L234" s="112"/>
      <c r="M234" s="112"/>
    </row>
    <row r="235" spans="1:13" ht="31" x14ac:dyDescent="0.35">
      <c r="A235" s="44" t="s">
        <v>169</v>
      </c>
      <c r="B235" s="44" t="s">
        <v>394</v>
      </c>
      <c r="C235" s="3"/>
      <c r="D235" s="3"/>
      <c r="F235" s="3"/>
      <c r="H235" s="3"/>
      <c r="I235" s="3"/>
      <c r="J235" s="3"/>
      <c r="K235" s="3"/>
      <c r="L235" s="3"/>
      <c r="M235" s="3"/>
    </row>
    <row r="236" spans="1:13" x14ac:dyDescent="0.35">
      <c r="A236" s="3" t="s">
        <v>409</v>
      </c>
      <c r="B236" s="110" t="b">
        <v>1</v>
      </c>
      <c r="C236" s="3"/>
      <c r="D236" s="3"/>
      <c r="F236" s="3"/>
      <c r="H236" s="3"/>
      <c r="I236" s="3"/>
      <c r="J236" s="3"/>
      <c r="K236" s="3"/>
      <c r="L236" s="3"/>
      <c r="M236" s="3"/>
    </row>
    <row r="237" spans="1:13" x14ac:dyDescent="0.35">
      <c r="A237" s="3" t="s">
        <v>410</v>
      </c>
      <c r="B237" s="110" t="b">
        <v>0</v>
      </c>
      <c r="C237" s="3"/>
      <c r="D237" s="3"/>
      <c r="F237" s="3"/>
      <c r="H237" s="3"/>
      <c r="I237" s="3"/>
      <c r="J237" s="3"/>
      <c r="K237" s="3"/>
      <c r="L237" s="3"/>
      <c r="M237" s="3"/>
    </row>
    <row r="238" spans="1:13" x14ac:dyDescent="0.35">
      <c r="A238" s="3"/>
      <c r="B238" s="110"/>
      <c r="C238" s="110"/>
      <c r="D238" s="3"/>
      <c r="F238" s="3"/>
    </row>
    <row r="239" spans="1:13" s="108" customFormat="1" ht="37.5" customHeight="1" x14ac:dyDescent="0.35">
      <c r="A239" s="105" t="s">
        <v>411</v>
      </c>
      <c r="B239" s="111"/>
      <c r="C239" s="111"/>
      <c r="D239" s="112"/>
    </row>
    <row r="240" spans="1:13" x14ac:dyDescent="0.35">
      <c r="A240" s="44" t="s">
        <v>412</v>
      </c>
      <c r="D240" s="3"/>
    </row>
    <row r="241" spans="1:8" x14ac:dyDescent="0.35">
      <c r="A241" s="3" t="s">
        <v>181</v>
      </c>
      <c r="D241" s="3"/>
      <c r="E241" s="3"/>
      <c r="F241" s="3"/>
      <c r="G241" s="110"/>
      <c r="H241" s="110"/>
    </row>
    <row r="242" spans="1:8" x14ac:dyDescent="0.35">
      <c r="A242" s="3" t="s">
        <v>199</v>
      </c>
      <c r="D242" s="3"/>
      <c r="E242" s="3"/>
      <c r="F242" s="3"/>
      <c r="G242" s="110"/>
      <c r="H242" s="110"/>
    </row>
    <row r="243" spans="1:8" x14ac:dyDescent="0.35">
      <c r="A243" s="3" t="s">
        <v>213</v>
      </c>
      <c r="D243" s="3"/>
      <c r="E243" s="3"/>
      <c r="F243" s="3"/>
      <c r="G243" s="110"/>
      <c r="H243" s="110"/>
    </row>
    <row r="244" spans="1:8" x14ac:dyDescent="0.35">
      <c r="A244" s="3" t="s">
        <v>222</v>
      </c>
      <c r="D244" s="3"/>
      <c r="E244" s="3"/>
      <c r="F244" s="3"/>
      <c r="G244" s="110"/>
      <c r="H244" s="110"/>
    </row>
    <row r="245" spans="1:8" x14ac:dyDescent="0.35">
      <c r="A245" s="3" t="s">
        <v>230</v>
      </c>
      <c r="D245" s="3"/>
      <c r="E245" s="3"/>
      <c r="F245" s="3"/>
      <c r="G245" s="110"/>
      <c r="H245" s="110"/>
    </row>
    <row r="246" spans="1:8" x14ac:dyDescent="0.35">
      <c r="A246" s="3" t="s">
        <v>240</v>
      </c>
      <c r="D246" s="3"/>
      <c r="E246" s="3"/>
      <c r="F246" s="3"/>
      <c r="G246" s="110"/>
      <c r="H246" s="110"/>
    </row>
    <row r="247" spans="1:8" x14ac:dyDescent="0.35">
      <c r="A247" s="3" t="s">
        <v>413</v>
      </c>
      <c r="D247" s="3"/>
      <c r="E247" s="3"/>
      <c r="F247" s="3"/>
      <c r="G247" s="110"/>
      <c r="H247" s="110"/>
    </row>
    <row r="248" spans="1:8" x14ac:dyDescent="0.35">
      <c r="A248" s="3" t="s">
        <v>251</v>
      </c>
      <c r="D248" s="3"/>
      <c r="E248" s="3"/>
      <c r="F248" s="3"/>
      <c r="G248" s="110"/>
      <c r="H248" s="110"/>
    </row>
    <row r="249" spans="1:8" x14ac:dyDescent="0.35">
      <c r="A249" s="3" t="s">
        <v>265</v>
      </c>
      <c r="D249" s="3"/>
      <c r="E249" s="3"/>
      <c r="F249" s="3"/>
      <c r="G249" s="110"/>
      <c r="H249" s="110"/>
    </row>
    <row r="250" spans="1:8" x14ac:dyDescent="0.35">
      <c r="A250" s="109" t="s">
        <v>345</v>
      </c>
      <c r="D250" s="3"/>
      <c r="E250" s="3"/>
      <c r="F250" s="3"/>
      <c r="G250" s="110"/>
      <c r="H250" s="110"/>
    </row>
    <row r="251" spans="1:8" x14ac:dyDescent="0.35">
      <c r="A251" s="109" t="s">
        <v>347</v>
      </c>
      <c r="D251" s="3"/>
      <c r="E251" s="3"/>
      <c r="F251" s="3"/>
      <c r="G251" s="110"/>
      <c r="H251" s="110"/>
    </row>
    <row r="252" spans="1:8" x14ac:dyDescent="0.35">
      <c r="A252" s="109" t="s">
        <v>348</v>
      </c>
      <c r="D252" s="3"/>
      <c r="E252" s="3"/>
      <c r="F252" s="3"/>
      <c r="G252" s="110"/>
      <c r="H252" s="110"/>
    </row>
    <row r="253" spans="1:8" x14ac:dyDescent="0.35">
      <c r="A253" s="109" t="s">
        <v>349</v>
      </c>
      <c r="D253" s="3"/>
      <c r="E253" s="3"/>
      <c r="F253" s="3"/>
      <c r="G253" s="110"/>
      <c r="H253" s="110"/>
    </row>
    <row r="254" spans="1:8" x14ac:dyDescent="0.35">
      <c r="A254" s="3" t="s">
        <v>350</v>
      </c>
      <c r="D254" s="3"/>
      <c r="E254" s="3"/>
      <c r="F254" s="3"/>
      <c r="G254" s="110"/>
      <c r="H254" s="110"/>
    </row>
    <row r="255" spans="1:8" x14ac:dyDescent="0.35">
      <c r="A255" s="3" t="s">
        <v>351</v>
      </c>
      <c r="D255" s="3"/>
      <c r="E255" s="3"/>
      <c r="F255" s="3"/>
      <c r="G255" s="110"/>
      <c r="H255" s="110"/>
    </row>
    <row r="256" spans="1:8" x14ac:dyDescent="0.35">
      <c r="A256" s="3" t="s">
        <v>352</v>
      </c>
      <c r="D256" s="3"/>
      <c r="E256" s="3"/>
      <c r="F256" s="3"/>
      <c r="G256" s="110"/>
      <c r="H256" s="110"/>
    </row>
    <row r="257" spans="1:8" x14ac:dyDescent="0.35">
      <c r="A257" s="107" t="s">
        <v>346</v>
      </c>
      <c r="D257" s="3"/>
      <c r="E257" s="3"/>
      <c r="F257" s="3"/>
      <c r="G257" s="110"/>
      <c r="H257" s="110"/>
    </row>
    <row r="259" spans="1:8" s="108" customFormat="1" ht="37.5" customHeight="1" x14ac:dyDescent="0.35">
      <c r="A259" s="105" t="s">
        <v>414</v>
      </c>
    </row>
    <row r="260" spans="1:8" x14ac:dyDescent="0.35">
      <c r="A260" s="44" t="s">
        <v>415</v>
      </c>
    </row>
    <row r="261" spans="1:8" x14ac:dyDescent="0.35">
      <c r="A261" s="3" t="s">
        <v>181</v>
      </c>
    </row>
    <row r="262" spans="1:8" x14ac:dyDescent="0.35">
      <c r="A262" s="3" t="s">
        <v>199</v>
      </c>
    </row>
    <row r="263" spans="1:8" x14ac:dyDescent="0.35">
      <c r="A263" s="3" t="s">
        <v>213</v>
      </c>
    </row>
    <row r="264" spans="1:8" x14ac:dyDescent="0.35">
      <c r="A264" s="3" t="s">
        <v>222</v>
      </c>
    </row>
    <row r="265" spans="1:8" x14ac:dyDescent="0.35">
      <c r="A265" s="3" t="s">
        <v>230</v>
      </c>
    </row>
    <row r="266" spans="1:8" x14ac:dyDescent="0.35">
      <c r="A266" s="3" t="s">
        <v>240</v>
      </c>
    </row>
    <row r="267" spans="1:8" x14ac:dyDescent="0.35">
      <c r="A267" s="3" t="s">
        <v>251</v>
      </c>
    </row>
    <row r="268" spans="1:8" x14ac:dyDescent="0.35">
      <c r="A268" s="3" t="s">
        <v>265</v>
      </c>
    </row>
    <row r="269" spans="1:8" x14ac:dyDescent="0.35">
      <c r="A269" s="109" t="s">
        <v>345</v>
      </c>
    </row>
    <row r="270" spans="1:8" x14ac:dyDescent="0.35">
      <c r="A270" s="109" t="s">
        <v>347</v>
      </c>
    </row>
    <row r="271" spans="1:8" x14ac:dyDescent="0.35">
      <c r="A271" s="109" t="s">
        <v>348</v>
      </c>
    </row>
    <row r="272" spans="1:8" x14ac:dyDescent="0.35">
      <c r="A272" s="109" t="s">
        <v>349</v>
      </c>
    </row>
    <row r="273" spans="1:1" x14ac:dyDescent="0.35">
      <c r="A273" s="3" t="s">
        <v>350</v>
      </c>
    </row>
    <row r="274" spans="1:1" x14ac:dyDescent="0.35">
      <c r="A274" s="3" t="s">
        <v>351</v>
      </c>
    </row>
    <row r="275" spans="1:1" x14ac:dyDescent="0.35">
      <c r="A275" s="3" t="s">
        <v>352</v>
      </c>
    </row>
    <row r="276" spans="1:1" x14ac:dyDescent="0.35">
      <c r="A276" s="3" t="s">
        <v>346</v>
      </c>
    </row>
    <row r="278" spans="1:1" s="108" customFormat="1" ht="37.5" customHeight="1" x14ac:dyDescent="0.35">
      <c r="A278" s="105" t="s">
        <v>416</v>
      </c>
    </row>
    <row r="279" spans="1:1" x14ac:dyDescent="0.35">
      <c r="A279" s="44" t="s">
        <v>417</v>
      </c>
    </row>
    <row r="280" spans="1:1" x14ac:dyDescent="0.35">
      <c r="A280" s="3" t="e" cm="1" vm="1">
        <f t="array" ref="A280">_xlfn._xlws.SORT(_xlfn.UNIQUE(_xlfn._xlws.FILTER(Nutrients_from_future_land_use!$A$5:$A$21,Nutrients_from_future_land_use!$A$5:$A$21&lt;&gt;"")))</f>
        <v>#VALUE!</v>
      </c>
    </row>
  </sheetData>
  <sheetProtection algorithmName="SHA-512" hashValue="PWE0ZXCz9/+/UNDyrCmv+PgixXGIKNCJTw+ouhbk8MPl8zqM1iiuErh9ieZHbFgTUfDcYoaqdECqA5pKh4OSAw==" saltValue="48xtVSFYWzWTWmwTLDnBaQ==" spinCount="100000" sheet="1" objects="1" scenarios="1"/>
  <phoneticPr fontId="8" type="noConversion"/>
  <dataValidations count="1">
    <dataValidation allowBlank="1" showInputMessage="1" showErrorMessage="1" prompt="This value is dependent on the rainfall volume." sqref="G191:H193 H187"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5.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Props1.xml><?xml version="1.0" encoding="utf-8"?>
<ds:datastoreItem xmlns:ds="http://schemas.openxmlformats.org/officeDocument/2006/customXml" ds:itemID="{A6870AF0-BC99-4EE0-9479-825860D2F995}">
  <ds:schemaRefs>
    <ds:schemaRef ds:uri="http://schemas.microsoft.com/DataMashup"/>
  </ds:schemaRefs>
</ds:datastoreItem>
</file>

<file path=customXml/itemProps2.xml><?xml version="1.0" encoding="utf-8"?>
<ds:datastoreItem xmlns:ds="http://schemas.openxmlformats.org/officeDocument/2006/customXml" ds:itemID="{26BF9478-D373-4112-9C0D-32D756095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4.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s>
</ds:datastoreItem>
</file>

<file path=customXml/itemProps5.xml><?xml version="1.0" encoding="utf-8"?>
<ds:datastoreItem xmlns:ds="http://schemas.openxmlformats.org/officeDocument/2006/customXml" ds:itemID="{975D093D-219C-4EC1-A2E9-2A34FBF2E64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About_the_calculator</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Bibby, David</cp:lastModifiedBy>
  <cp:revision/>
  <dcterms:created xsi:type="dcterms:W3CDTF">2021-10-14T13:24:34Z</dcterms:created>
  <dcterms:modified xsi:type="dcterms:W3CDTF">2024-02-02T15:28:35Z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