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updateLinks="never" defaultThemeVersion="166925"/>
  <mc:AlternateContent xmlns:mc="http://schemas.openxmlformats.org/markup-compatibility/2006">
    <mc:Choice Requires="x15">
      <x15ac:absPath xmlns:x15ac="http://schemas.microsoft.com/office/spreadsheetml/2010/11/ac" url="Z:\Migrated Documents\Temporary Files\PUSH IWMS\NE New TAL Calculators Jan 2024\"/>
    </mc:Choice>
  </mc:AlternateContent>
  <xr:revisionPtr revIDLastSave="0" documentId="8_{C180734F-59B1-4D57-8E91-C0545F10006F}" xr6:coauthVersionLast="47" xr6:coauthVersionMax="47" xr10:uidLastSave="{00000000-0000-0000-0000-000000000000}"/>
  <workbookProtection workbookAlgorithmName="SHA-512" workbookHashValue="N/nmUErMyq+uK+vCjLJlKlb93RBkkFhpWUUMJNkLKKJk/NLEC8r38psnnfDktATQhdWSjqXigkfJkO0c24OQnw==" workbookSaltValue="29mIUxu//TDkvpPUzpBPuw==" workbookSpinCount="100000" lockStructure="1"/>
  <bookViews>
    <workbookView xWindow="-110" yWindow="-110" windowWidth="19420" windowHeight="10420" tabRatio="80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1" l="1"/>
  <c r="B11" i="21"/>
  <c r="B15" i="21"/>
  <c r="B16" i="21"/>
  <c r="A26" i="21"/>
  <c r="A25" i="21"/>
  <c r="A24" i="21"/>
  <c r="A19" i="21"/>
  <c r="A16" i="21"/>
  <c r="A15" i="21"/>
  <c r="H91" i="3"/>
  <c r="G91" i="3"/>
  <c r="E12" i="8"/>
  <c r="E13" i="8"/>
  <c r="E14" i="8"/>
  <c r="E15" i="8"/>
  <c r="E16" i="8"/>
  <c r="E17" i="8"/>
  <c r="E18" i="8"/>
  <c r="E19" i="8"/>
  <c r="E20" i="8"/>
  <c r="E21" i="8"/>
  <c r="E22" i="8"/>
  <c r="E23" i="8"/>
  <c r="E24" i="8"/>
  <c r="E25" i="8"/>
  <c r="E26" i="8"/>
  <c r="E27" i="8"/>
  <c r="E11" i="8"/>
  <c r="A29" i="21" l="1"/>
  <c r="A28" i="21"/>
  <c r="A184" i="3" a="1"/>
  <c r="A184" i="3" s="1"/>
  <c r="I5" i="22"/>
  <c r="J5" i="22"/>
  <c r="I6" i="22"/>
  <c r="J6" i="22"/>
  <c r="I7" i="22"/>
  <c r="J7" i="22"/>
  <c r="I8" i="22"/>
  <c r="J8" i="22"/>
  <c r="I9" i="22"/>
  <c r="J9" i="22"/>
  <c r="I10" i="22"/>
  <c r="J10" i="22"/>
  <c r="I11" i="22"/>
  <c r="J11" i="22"/>
  <c r="I12" i="22"/>
  <c r="J12" i="22"/>
  <c r="I13" i="22"/>
  <c r="J13" i="22"/>
  <c r="I14" i="22"/>
  <c r="J14" i="22"/>
  <c r="I15" i="22"/>
  <c r="J15" i="22"/>
  <c r="I16" i="22"/>
  <c r="J16" i="22"/>
  <c r="I17" i="22"/>
  <c r="J17" i="22"/>
  <c r="I18" i="22"/>
  <c r="J18" i="22"/>
  <c r="I19" i="22"/>
  <c r="J19" i="22"/>
  <c r="I20" i="22"/>
  <c r="J20" i="22"/>
  <c r="I21" i="22"/>
  <c r="J21" i="22"/>
  <c r="I22" i="22"/>
  <c r="J22" i="22"/>
  <c r="I23" i="22"/>
  <c r="J23" i="22"/>
  <c r="I24" i="22"/>
  <c r="J24" i="22"/>
  <c r="I25" i="22"/>
  <c r="J25" i="22"/>
  <c r="I26" i="22"/>
  <c r="J26" i="22"/>
  <c r="I27" i="22"/>
  <c r="J27" i="22"/>
  <c r="I28" i="22"/>
  <c r="J28" i="22"/>
  <c r="K5" i="22"/>
  <c r="K6" i="22"/>
  <c r="K7" i="22"/>
  <c r="K8" i="22"/>
  <c r="K9" i="22"/>
  <c r="K10" i="22"/>
  <c r="K11" i="22"/>
  <c r="K12" i="22"/>
  <c r="K13" i="22"/>
  <c r="K14" i="22"/>
  <c r="K15" i="22"/>
  <c r="K16" i="22"/>
  <c r="K17" i="22"/>
  <c r="K18" i="22"/>
  <c r="K19" i="22"/>
  <c r="K20" i="22"/>
  <c r="K21" i="22"/>
  <c r="K22" i="22"/>
  <c r="K23" i="22"/>
  <c r="K24" i="22"/>
  <c r="K25" i="22"/>
  <c r="K26" i="22"/>
  <c r="K27" i="22"/>
  <c r="K28" i="22"/>
  <c r="K4" i="22"/>
  <c r="K29" i="22"/>
  <c r="D8" i="22"/>
  <c r="E8" i="22"/>
  <c r="D9" i="22"/>
  <c r="E9" i="22"/>
  <c r="D10" i="22"/>
  <c r="E10" i="22"/>
  <c r="D11" i="22"/>
  <c r="E11" i="22"/>
  <c r="D12" i="22"/>
  <c r="E12" i="22"/>
  <c r="D13" i="22"/>
  <c r="E13" i="22"/>
  <c r="D14" i="22"/>
  <c r="E14" i="22"/>
  <c r="D15" i="22"/>
  <c r="E15" i="22"/>
  <c r="D16" i="22"/>
  <c r="E16" i="22"/>
  <c r="D17" i="22"/>
  <c r="E17" i="22"/>
  <c r="D18" i="22"/>
  <c r="E18" i="22"/>
  <c r="D19" i="22"/>
  <c r="E19" i="22"/>
  <c r="D20" i="22"/>
  <c r="E20" i="22"/>
  <c r="D21" i="22"/>
  <c r="E21" i="22"/>
  <c r="D22" i="22"/>
  <c r="E22" i="22"/>
  <c r="D23" i="22"/>
  <c r="E23" i="22"/>
  <c r="D24" i="22"/>
  <c r="E24" i="22"/>
  <c r="D25" i="22"/>
  <c r="E25" i="22"/>
  <c r="D26" i="22"/>
  <c r="E26" i="22"/>
  <c r="D27" i="22"/>
  <c r="E27" i="22"/>
  <c r="D28" i="22"/>
  <c r="E28" i="22"/>
  <c r="E5" i="22"/>
  <c r="E6" i="22"/>
  <c r="D5" i="22"/>
  <c r="D6" i="22"/>
  <c r="E7" i="22"/>
  <c r="D7" i="22"/>
  <c r="B29" i="22" l="1"/>
  <c r="C13" i="8" l="1"/>
  <c r="D13" i="8"/>
  <c r="B20" i="21"/>
  <c r="B21" i="21" s="1"/>
  <c r="A16" i="10"/>
  <c r="A13" i="21"/>
  <c r="I10" i="3"/>
  <c r="I9" i="3"/>
  <c r="A18" i="10" l="1"/>
  <c r="A17" i="10"/>
  <c r="E6" i="3" l="1"/>
  <c r="E8" i="3"/>
  <c r="E9" i="3"/>
  <c r="E10" i="3"/>
  <c r="H97" i="3" l="1"/>
  <c r="H96" i="3"/>
  <c r="G97" i="3"/>
  <c r="G96" i="3"/>
  <c r="H95" i="3"/>
  <c r="G95" i="3"/>
  <c r="D17" i="8" l="1"/>
  <c r="C17" i="8" l="1"/>
  <c r="D7" i="9"/>
  <c r="D8" i="9"/>
  <c r="D9" i="9"/>
  <c r="D10" i="9"/>
  <c r="D11" i="9"/>
  <c r="D12" i="9"/>
  <c r="D13" i="9"/>
  <c r="C7" i="9"/>
  <c r="C8" i="9"/>
  <c r="C9" i="9"/>
  <c r="C10" i="9"/>
  <c r="C11" i="9"/>
  <c r="C12" i="9"/>
  <c r="C13" i="9"/>
  <c r="B13" i="21" l="1"/>
  <c r="B25" i="21" l="1"/>
  <c r="B22" i="21"/>
  <c r="B5" i="10" s="1"/>
  <c r="D6" i="9"/>
  <c r="F97" i="3"/>
  <c r="F96" i="3"/>
  <c r="F95" i="3"/>
  <c r="F94" i="3"/>
  <c r="F93" i="3"/>
  <c r="F92" i="3"/>
  <c r="F91" i="3"/>
  <c r="F90" i="3"/>
  <c r="K89" i="3"/>
  <c r="J89" i="3"/>
  <c r="I89" i="3"/>
  <c r="F89" i="3"/>
  <c r="K88" i="3"/>
  <c r="J88" i="3"/>
  <c r="I88" i="3"/>
  <c r="F88" i="3"/>
  <c r="K87" i="3"/>
  <c r="J87" i="3"/>
  <c r="I87" i="3"/>
  <c r="F87" i="3"/>
  <c r="K86" i="3"/>
  <c r="J86" i="3"/>
  <c r="I86" i="3"/>
  <c r="F86" i="3"/>
  <c r="K85" i="3"/>
  <c r="J85" i="3"/>
  <c r="I85" i="3"/>
  <c r="F85" i="3"/>
  <c r="K84" i="3"/>
  <c r="J84" i="3"/>
  <c r="I84" i="3"/>
  <c r="F84" i="3"/>
  <c r="K83" i="3"/>
  <c r="J83" i="3"/>
  <c r="I83" i="3"/>
  <c r="F83" i="3"/>
  <c r="K82" i="3"/>
  <c r="J82" i="3"/>
  <c r="I82" i="3"/>
  <c r="F82" i="3"/>
  <c r="K81" i="3"/>
  <c r="J81" i="3"/>
  <c r="I81" i="3"/>
  <c r="F81" i="3"/>
  <c r="K80" i="3"/>
  <c r="J80" i="3"/>
  <c r="I80" i="3"/>
  <c r="F80" i="3"/>
  <c r="K79" i="3"/>
  <c r="J79" i="3"/>
  <c r="I79" i="3"/>
  <c r="F79" i="3"/>
  <c r="K78" i="3"/>
  <c r="J78" i="3"/>
  <c r="I78" i="3"/>
  <c r="F78" i="3"/>
  <c r="K77" i="3"/>
  <c r="J77" i="3"/>
  <c r="I77" i="3"/>
  <c r="F77" i="3"/>
  <c r="K76" i="3"/>
  <c r="J76" i="3"/>
  <c r="I76" i="3"/>
  <c r="F76" i="3"/>
  <c r="K75" i="3"/>
  <c r="J75" i="3"/>
  <c r="I75" i="3"/>
  <c r="F75" i="3"/>
  <c r="K74" i="3"/>
  <c r="J74" i="3"/>
  <c r="I74" i="3"/>
  <c r="F74" i="3"/>
  <c r="K73" i="3"/>
  <c r="J73" i="3"/>
  <c r="I73" i="3"/>
  <c r="F73" i="3"/>
  <c r="K72" i="3"/>
  <c r="J72" i="3"/>
  <c r="I72" i="3"/>
  <c r="F72" i="3"/>
  <c r="K71" i="3"/>
  <c r="J71" i="3"/>
  <c r="I71" i="3"/>
  <c r="F71" i="3"/>
  <c r="K70" i="3"/>
  <c r="J70" i="3"/>
  <c r="I70" i="3"/>
  <c r="F70" i="3"/>
  <c r="K69" i="3"/>
  <c r="J69" i="3"/>
  <c r="I69" i="3"/>
  <c r="F69" i="3"/>
  <c r="K68" i="3"/>
  <c r="J68" i="3"/>
  <c r="I68" i="3"/>
  <c r="F68" i="3"/>
  <c r="K67" i="3"/>
  <c r="J67" i="3"/>
  <c r="I67" i="3"/>
  <c r="F67" i="3"/>
  <c r="K66" i="3"/>
  <c r="J66" i="3"/>
  <c r="I66" i="3"/>
  <c r="F66" i="3"/>
  <c r="K65" i="3"/>
  <c r="J65" i="3"/>
  <c r="I65" i="3"/>
  <c r="F65" i="3"/>
  <c r="K64" i="3"/>
  <c r="J64" i="3"/>
  <c r="I64" i="3"/>
  <c r="F64" i="3"/>
  <c r="K63" i="3"/>
  <c r="J63" i="3"/>
  <c r="I63" i="3"/>
  <c r="F63" i="3"/>
  <c r="K62" i="3"/>
  <c r="J62" i="3"/>
  <c r="I62" i="3"/>
  <c r="F62" i="3"/>
  <c r="K61" i="3"/>
  <c r="J61" i="3"/>
  <c r="I61" i="3"/>
  <c r="F61" i="3"/>
  <c r="K60" i="3"/>
  <c r="J60" i="3"/>
  <c r="I60" i="3"/>
  <c r="F60" i="3"/>
  <c r="K59" i="3"/>
  <c r="J59" i="3"/>
  <c r="I59" i="3"/>
  <c r="F59" i="3"/>
  <c r="K58" i="3"/>
  <c r="J58" i="3"/>
  <c r="I58" i="3"/>
  <c r="F58" i="3"/>
  <c r="K57" i="3"/>
  <c r="J57" i="3"/>
  <c r="I57" i="3"/>
  <c r="F57" i="3"/>
  <c r="K56" i="3"/>
  <c r="J56" i="3"/>
  <c r="I56" i="3"/>
  <c r="F56" i="3"/>
  <c r="K55" i="3"/>
  <c r="J55" i="3"/>
  <c r="I55" i="3"/>
  <c r="F55" i="3"/>
  <c r="M54" i="3"/>
  <c r="L54" i="3"/>
  <c r="K54" i="3"/>
  <c r="J54" i="3"/>
  <c r="I54" i="3"/>
  <c r="F54" i="3"/>
  <c r="K53" i="3"/>
  <c r="J53" i="3"/>
  <c r="I53" i="3"/>
  <c r="F53" i="3"/>
  <c r="K52" i="3"/>
  <c r="J52" i="3"/>
  <c r="I52" i="3"/>
  <c r="F52" i="3"/>
  <c r="K51" i="3"/>
  <c r="J51" i="3"/>
  <c r="I51" i="3"/>
  <c r="F51" i="3"/>
  <c r="K50" i="3"/>
  <c r="J50" i="3"/>
  <c r="I50" i="3"/>
  <c r="F50" i="3"/>
  <c r="K49" i="3"/>
  <c r="J49" i="3"/>
  <c r="I49" i="3"/>
  <c r="F49" i="3"/>
  <c r="K48" i="3"/>
  <c r="J48" i="3"/>
  <c r="I48" i="3"/>
  <c r="F48" i="3"/>
  <c r="K47" i="3"/>
  <c r="J47" i="3"/>
  <c r="I47" i="3"/>
  <c r="F47" i="3"/>
  <c r="K46" i="3"/>
  <c r="J46" i="3"/>
  <c r="I46" i="3"/>
  <c r="F46" i="3"/>
  <c r="K45" i="3"/>
  <c r="J45" i="3"/>
  <c r="I45" i="3"/>
  <c r="F45" i="3"/>
  <c r="K44" i="3"/>
  <c r="J44" i="3"/>
  <c r="I44" i="3"/>
  <c r="F44" i="3"/>
  <c r="K43" i="3"/>
  <c r="J43" i="3"/>
  <c r="I43" i="3"/>
  <c r="F43" i="3"/>
  <c r="K42" i="3"/>
  <c r="J42" i="3"/>
  <c r="I42" i="3"/>
  <c r="F42" i="3"/>
  <c r="K41" i="3"/>
  <c r="J41" i="3"/>
  <c r="I41" i="3"/>
  <c r="F41" i="3"/>
  <c r="K40" i="3"/>
  <c r="J40" i="3"/>
  <c r="I40" i="3"/>
  <c r="F40" i="3"/>
  <c r="K39" i="3"/>
  <c r="J39" i="3"/>
  <c r="I39" i="3"/>
  <c r="F39" i="3"/>
  <c r="K38" i="3"/>
  <c r="J38" i="3"/>
  <c r="I38" i="3"/>
  <c r="F38" i="3"/>
  <c r="M37" i="3"/>
  <c r="L37" i="3"/>
  <c r="K37" i="3"/>
  <c r="J37" i="3"/>
  <c r="I37" i="3"/>
  <c r="F37" i="3"/>
  <c r="K36" i="3"/>
  <c r="J36" i="3"/>
  <c r="I36" i="3"/>
  <c r="F36" i="3"/>
  <c r="K35" i="3"/>
  <c r="J35" i="3"/>
  <c r="I35" i="3"/>
  <c r="F35" i="3"/>
  <c r="K34" i="3"/>
  <c r="J34" i="3"/>
  <c r="I34" i="3"/>
  <c r="F34" i="3"/>
  <c r="K33" i="3"/>
  <c r="J33" i="3"/>
  <c r="I33" i="3"/>
  <c r="F33" i="3"/>
  <c r="M32" i="3"/>
  <c r="L32" i="3"/>
  <c r="K32" i="3"/>
  <c r="J32" i="3"/>
  <c r="I32" i="3"/>
  <c r="F32" i="3"/>
  <c r="K31" i="3"/>
  <c r="J31" i="3"/>
  <c r="I31" i="3"/>
  <c r="F31" i="3"/>
  <c r="M30" i="3"/>
  <c r="L30" i="3"/>
  <c r="K30" i="3"/>
  <c r="J30" i="3"/>
  <c r="I30" i="3"/>
  <c r="F30" i="3"/>
  <c r="K29" i="3"/>
  <c r="J29" i="3"/>
  <c r="I29" i="3"/>
  <c r="F29" i="3"/>
  <c r="K28" i="3"/>
  <c r="J28" i="3"/>
  <c r="I28" i="3"/>
  <c r="F28" i="3"/>
  <c r="M27" i="3"/>
  <c r="L27" i="3"/>
  <c r="K27" i="3"/>
  <c r="J27" i="3"/>
  <c r="I27" i="3"/>
  <c r="F27" i="3"/>
  <c r="K26" i="3"/>
  <c r="J26" i="3"/>
  <c r="I26" i="3"/>
  <c r="F26" i="3"/>
  <c r="K25" i="3"/>
  <c r="J25" i="3"/>
  <c r="I25" i="3"/>
  <c r="F25" i="3"/>
  <c r="M24" i="3"/>
  <c r="L24" i="3"/>
  <c r="K24" i="3"/>
  <c r="J24" i="3"/>
  <c r="I24" i="3"/>
  <c r="F24" i="3"/>
  <c r="K23" i="3"/>
  <c r="J23" i="3"/>
  <c r="I23" i="3"/>
  <c r="F23" i="3"/>
  <c r="K22" i="3"/>
  <c r="J22" i="3"/>
  <c r="I22" i="3"/>
  <c r="F22" i="3"/>
  <c r="K21" i="3"/>
  <c r="J21" i="3"/>
  <c r="I21" i="3"/>
  <c r="F21" i="3"/>
  <c r="M20" i="3"/>
  <c r="L20" i="3"/>
  <c r="K20" i="3"/>
  <c r="J20" i="3"/>
  <c r="I20" i="3"/>
  <c r="F20" i="3"/>
  <c r="K19" i="3"/>
  <c r="J19" i="3"/>
  <c r="I19" i="3"/>
  <c r="F19" i="3"/>
  <c r="K18" i="3"/>
  <c r="J18" i="3"/>
  <c r="I18" i="3"/>
  <c r="F18" i="3"/>
  <c r="K17" i="3"/>
  <c r="J17" i="3"/>
  <c r="I17" i="3"/>
  <c r="F17" i="3"/>
  <c r="M16" i="3"/>
  <c r="L16" i="3"/>
  <c r="K16" i="3"/>
  <c r="J16" i="3"/>
  <c r="I16" i="3"/>
  <c r="F16" i="3"/>
  <c r="C10" i="3"/>
  <c r="C9" i="3"/>
  <c r="C7" i="3"/>
  <c r="C6" i="3"/>
  <c r="C5" i="3"/>
  <c r="D5" i="9" l="1"/>
  <c r="E4" i="22" s="1"/>
  <c r="E29" i="22" s="1"/>
  <c r="B14" i="21"/>
  <c r="B23" i="21" s="1"/>
  <c r="C5" i="9"/>
  <c r="D4" i="22" s="1"/>
  <c r="C12" i="8"/>
  <c r="D11" i="8"/>
  <c r="D12" i="8"/>
  <c r="C11" i="8"/>
  <c r="A13" i="10"/>
  <c r="A14" i="21"/>
  <c r="C26" i="8"/>
  <c r="D25" i="8"/>
  <c r="D24" i="8"/>
  <c r="D16" i="8"/>
  <c r="D22" i="8"/>
  <c r="D14" i="8"/>
  <c r="D23" i="8"/>
  <c r="D15" i="8"/>
  <c r="D18" i="8"/>
  <c r="D21" i="8"/>
  <c r="D26" i="8"/>
  <c r="D20" i="8"/>
  <c r="D19" i="8"/>
  <c r="C20" i="8"/>
  <c r="D16" i="9"/>
  <c r="C17" i="9"/>
  <c r="C18" i="9"/>
  <c r="C21" i="8"/>
  <c r="D17" i="9"/>
  <c r="C14" i="8"/>
  <c r="C22" i="8"/>
  <c r="D18" i="9"/>
  <c r="C19" i="9"/>
  <c r="D19" i="9"/>
  <c r="C20" i="9"/>
  <c r="C19" i="8"/>
  <c r="C15" i="8"/>
  <c r="C23" i="8"/>
  <c r="C16" i="8"/>
  <c r="C24" i="8"/>
  <c r="D20" i="9"/>
  <c r="D15" i="9"/>
  <c r="C16" i="9"/>
  <c r="C25" i="8"/>
  <c r="C14" i="9"/>
  <c r="C15" i="9"/>
  <c r="C18" i="8"/>
  <c r="D14" i="9"/>
  <c r="C21" i="9"/>
  <c r="D27" i="8"/>
  <c r="C6" i="9"/>
  <c r="B29" i="21" l="1"/>
  <c r="B26" i="21"/>
  <c r="B28" i="21"/>
  <c r="A27" i="21" s="1"/>
  <c r="B9" i="10"/>
  <c r="J4" i="22"/>
  <c r="J29" i="22" s="1"/>
  <c r="I4" i="22"/>
  <c r="I29" i="22" s="1"/>
  <c r="D29" i="22"/>
  <c r="D21" i="9"/>
  <c r="C22" i="9"/>
  <c r="C27" i="8"/>
  <c r="D28" i="8" l="1"/>
  <c r="D22" i="9"/>
  <c r="B10" i="10" s="1"/>
  <c r="C28" i="8"/>
  <c r="B6" i="10" s="1"/>
  <c r="B17" i="10" s="1"/>
  <c r="B11" i="10" l="1"/>
  <c r="B12" i="10" s="1"/>
  <c r="B15" i="10" s="1"/>
  <c r="B7" i="10"/>
  <c r="B18" i="10" l="1"/>
  <c r="B8" i="10"/>
  <c r="B14" i="10" s="1"/>
  <c r="B22" i="9"/>
  <c r="B28" i="8"/>
  <c r="B20" i="10" l="1"/>
  <c r="A19" i="10" l="1"/>
  <c r="B21" i="10"/>
  <c r="A20" i="10" l="1"/>
  <c r="A21" i="10"/>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<sst xmlns="http://schemas.openxmlformats.org/spreadsheetml/2006/main" count="640" uniqueCount="254">
  <si>
    <t>Natural England Nutrient Neutrality budget calculator for the River Itchen SAC</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</si>
  <si>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</si>
  <si>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</si>
  <si>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</si>
  <si>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</si>
  <si>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</si>
  <si>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</si>
  <si>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</si>
  <si>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</si>
  <si>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</si>
  <si>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</si>
  <si>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</si>
  <si>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</si>
  <si>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</si>
  <si>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</si>
  <si>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</si>
  <si>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</si>
  <si>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</si>
  <si>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</si>
  <si>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</si>
  <si>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</si>
  <si>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</si>
  <si>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</si>
  <si>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</si>
  <si>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</si>
  <si>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</si>
  <si>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</si>
  <si>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</si>
  <si>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</si>
  <si>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</si>
  <si>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</si>
  <si>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</si>
  <si>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</si>
  <si>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</si>
  <si>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</si>
  <si>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</si>
  <si>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</si>
  <si>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nitrogen (TN) or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</si>
  <si>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</si>
  <si>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B22, B23, B25, B26, B28 or B29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</si>
  <si>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</si>
  <si>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</si>
  <si>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</si>
  <si>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</si>
  <si>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</si>
  <si>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</si>
  <si>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</si>
  <si>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</si>
  <si>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</si>
  <si>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</si>
  <si>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</si>
  <si>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'42023 - Itchen at Riverside Park'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</si>
  <si>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</si>
  <si>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</si>
  <si>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</si>
  <si>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</si>
  <si>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</si>
  <si>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</si>
  <si>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</si>
  <si>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</si>
  <si>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</si>
  <si>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</si>
  <si>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</si>
  <si>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</si>
  <si>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</si>
  <si>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13 to 16 and column C. User inputs are required for cells B5 to B10. In addition, user inputs are required in C11 and C12 depending on the information entered by the user. The second table 'Table_4_Wastewater_Load' may contain blank cells in rows 24 to 29.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whether the catchment of the proposed development can apply deductible acceptable loading from the drop-down list in cell B9.
You can choose the receiving WwTW from the drop-down list in cell B10. The drop-down lists can be accessed by clicking the arrow or pressing the 'Alt' + 'Down' keys when the cell is selected. If the user selects 'Package Treatment Plant user defined' or 'Septic Tank user defined', the user must enter their certified value of TP in cell C11 or TN in cell C12.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B11 to B16. If applicable, up to three values for the nutrient loading associated with wastewater will be calculated for the loading will be presented in cell B22, B23, B25, B26, B28 or B29.</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</si>
  <si>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</si>
  <si>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</si>
  <si>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</si>
  <si>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</si>
  <si>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</si>
  <si>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</si>
  <si>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</si>
  <si>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</si>
  <si>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 xml:space="preserve">Include deductible acceptable loading? </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</si>
  <si>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</si>
  <si>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</si>
  <si>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</si>
  <si>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</si>
  <si>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</si>
  <si>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</si>
  <si>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</si>
  <si>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</si>
  <si>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</si>
  <si>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</si>
  <si>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 xml:space="preserve">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E)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for TP and D11-D27 for TN. 
The total nutrient load from current land uses is shown in cell C28 for TP and D28 for TN.
</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</si>
  <si>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</si>
  <si>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</si>
  <si>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</si>
  <si>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</si>
  <si>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</si>
  <si>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</si>
  <si>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</si>
  <si>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</si>
  <si>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</si>
  <si>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nutrient export  
(kg TP/yr)</t>
  </si>
  <si>
    <t>Annual nitrogen nutrient export  
(kg TN/yr)</t>
  </si>
  <si>
    <t>Notes on data</t>
  </si>
  <si>
    <t>Totals:</t>
  </si>
  <si>
    <t xml:space="preserve">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for TP and D5-D21 for TN. 
The total nutrient load from future land uses is shown in cell C22 for TP and D22 for TN. </t>
  </si>
  <si>
    <t>Future land uses</t>
  </si>
  <si>
    <t>New land use type(s)</t>
  </si>
  <si>
    <t>Annual phosphorus nutrient export 
(kg TP/yr)</t>
  </si>
  <si>
    <t>Annual nitrogen nutrient export
(kg TN/yr)</t>
  </si>
  <si>
    <t>Nutrients from future land use after SuDS treatment</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</si>
  <si>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</si>
  <si>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New land use type(s) within SuDS catchment area</t>
  </si>
  <si>
    <t>SuDS catchment area (ha)</t>
  </si>
  <si>
    <t>Percentage of flow entering the SuDS (%)</t>
  </si>
  <si>
    <t>Annual phosphorus inputs to SuDS feature(s)
(kg TP/yr)</t>
  </si>
  <si>
    <t>Annual nitrogen inputs to SuDS feature(s)
(kg TN/yr)</t>
  </si>
  <si>
    <t>Name of SuDS feature(s)</t>
  </si>
  <si>
    <t>TP removal rate for features - user specified (%)</t>
  </si>
  <si>
    <t>TN removal rate for features - user specified (%)</t>
  </si>
  <si>
    <t>Annual phosphorus load removed by SuDS
(kg TP/yr)</t>
  </si>
  <si>
    <t>Annual nitrogen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</si>
  <si>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</si>
  <si>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B14, B17 and B20 for TP, or B15, B18 and B21 for TN. Some cells may be empty if there are no changing permits.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</si>
  <si>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</si>
  <si>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</si>
  <si>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</si>
  <si>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</si>
  <si>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</si>
  <si>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</si>
  <si>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</si>
  <si>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</si>
  <si>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</si>
  <si>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</si>
  <si>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</si>
  <si>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</si>
  <si>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</si>
  <si>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</si>
  <si>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</si>
  <si>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</si>
  <si>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</si>
  <si>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</si>
  <si>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Nitrogen Total as N (mg/l) with deductible acceptable loading</t>
  </si>
  <si>
    <t>Nitrogen Total as N (mg/l), permit post 2025 with deductible acceptable loading</t>
  </si>
  <si>
    <t>Phosphorus, Total as P (mg/l), permit post 2030</t>
  </si>
  <si>
    <t>Nitrogen, Total as N (mg/l), permit post 2030</t>
  </si>
  <si>
    <t>Nitrogen Total as N (mg/l), permit post 2030 with deductible acceptable loading</t>
  </si>
  <si>
    <t>Chickenhall Eastleigh WwTW</t>
  </si>
  <si>
    <t>Harestock WwTW</t>
  </si>
  <si>
    <t>Morestead WwTW</t>
  </si>
  <si>
    <t>New Alresford WwTW</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</si>
  <si>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</si>
  <si>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</si>
  <si>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</si>
  <si>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</si>
  <si>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</si>
  <si>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</si>
  <si>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</si>
  <si>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</si>
  <si>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</si>
  <si>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</si>
  <si>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</si>
  <si>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</si>
  <si>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</si>
  <si>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</si>
  <si>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</si>
  <si>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</si>
  <si>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</si>
  <si>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</si>
  <si>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Itchen</t>
  </si>
  <si>
    <t>Cereals</t>
  </si>
  <si>
    <t>700to900</t>
  </si>
  <si>
    <t>FreeDrain</t>
  </si>
  <si>
    <t>DrainedAr</t>
  </si>
  <si>
    <t>DrainedArGr</t>
  </si>
  <si>
    <t>900to1200</t>
  </si>
  <si>
    <t>General</t>
  </si>
  <si>
    <t>Horticulture</t>
  </si>
  <si>
    <t>Poultry</t>
  </si>
  <si>
    <t>Dairy</t>
  </si>
  <si>
    <t>Lowland</t>
  </si>
  <si>
    <t>Mixed</t>
  </si>
  <si>
    <t>Test Lower and Southampton Streams</t>
  </si>
  <si>
    <t>Pig</t>
  </si>
  <si>
    <t>Test Upper and Middle</t>
  </si>
  <si>
    <t>Hortic</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</si>
  <si>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</si>
  <si>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</si>
  <si>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</si>
  <si>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</si>
  <si>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</si>
  <si>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</si>
  <si>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</si>
  <si>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</si>
  <si>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</si>
  <si>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</si>
  <si>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</si>
  <si>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</si>
  <si>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</si>
  <si>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</si>
  <si>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</si>
  <si>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</si>
  <si>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</si>
  <si>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</si>
  <si>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</si>
  <si>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</si>
  <si>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</si>
  <si>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</si>
  <si>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</si>
  <si>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</si>
  <si>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</si>
  <si>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</si>
  <si>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</si>
  <si>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600to700</t>
  </si>
  <si>
    <t>625.1 - 650</t>
  </si>
  <si>
    <t>650.1 - 675</t>
  </si>
  <si>
    <t>675.1 - 700</t>
  </si>
  <si>
    <t>700.1 - 750</t>
  </si>
  <si>
    <t>750.1 - 800</t>
  </si>
  <si>
    <t>800.1 - 850</t>
  </si>
  <si>
    <t>850.1 - 900</t>
  </si>
  <si>
    <t>900.1 - 950</t>
  </si>
  <si>
    <t>950.1 - 1,000</t>
  </si>
  <si>
    <t>1,000.1 - 1,100</t>
  </si>
  <si>
    <t>1,100.1 - 1,200</t>
  </si>
  <si>
    <t>1,200.1 - 1,400</t>
  </si>
  <si>
    <t>1200to1500</t>
  </si>
  <si>
    <t>1,400.1 - 1,600</t>
  </si>
  <si>
    <t>1,600.1 - 2,000</t>
  </si>
  <si>
    <t>Over1500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</si>
  <si>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</si>
  <si>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</si>
  <si>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</si>
  <si>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</si>
  <si>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</si>
  <si>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</si>
  <si>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</si>
  <si>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</si>
  <si>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</si>
  <si>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</si>
  <si>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</si>
  <si>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</si>
  <si>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</si>
  <si>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</si>
  <si>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</si>
  <si>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</si>
  <si>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</si>
  <si>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</si>
  <si>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</si>
  <si>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</si>
  <si>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</si>
  <si>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</si>
  <si>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</si>
  <si>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</si>
  <si>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</si>
  <si>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</si>
  <si>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</si>
  <si>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Itchen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</si>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</sst>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u/>
      <sz val="11"/>
      <color theme="10"/>
      <name val="Calibri"/>
      <family val="2"/>
      <scheme val="minor"/>
    </font>
    <font>
      <b/>
      <sz val="12"/>
      <color theme="1"/>
      <name val="Arial"/>
      <family val="2"/>
    </font>
    <font>
      <sz val="8"/>
      <name val="Calibri"/>
      <family val="2"/>
      <scheme val="minor"/>
    </font>
    <font>
      <sz val="12"/>
      <name val="Arial"/>
      <family val="2"/>
    </font>
    <font>
      <b/>
      <sz val="12"/>
      <name val="Arial"/>
      <family val="2"/>
    </font>
    <font>
      <sz val="12"/>
      <color theme="1"/>
      <name val="Arial"/>
      <family val="2"/>
    </font>
    <font>
      <u/>
      <sz val="12"/>
      <color theme="10"/>
      <name val="Arial"/>
      <family val="2"/>
    </font>
    <font>
      <b/>
      <sz val="18"/>
      <name val="Arial"/>
      <family val="2"/>
    </font>
    <font>
      <b/>
      <sz val="14"/>
      <name val="Arial"/>
      <family val="2"/>
    </font>
    <font>
      <b/>
      <sz val="12"/>
      <color theme="0"/>
      <name val="Arial"/>
      <family val="2"/>
    </font>
    <font>
      <u/>
      <sz val="12"/>
      <name val="Arial"/>
      <family val="2"/>
    </font>
    <font>
      <sz val="12"/>
      <color rgb="FF000000"/>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1" fillId="0" borderId="0" applyNumberFormat="0" applyFill="0" applyBorder="0" applyAlignment="0" applyProtection="0"/>
    <xf numFmtId="0" fontId="8" fillId="0" borderId="3" applyNumberFormat="0" applyFill="0" applyBorder="0" applyAlignment="0" applyProtection="0"/>
    <xf numFmtId="0" fontId="9" fillId="0" borderId="7" applyNumberFormat="0" applyFill="0" applyBorder="0" applyAlignment="0" applyProtection="0"/>
  </cellStyleXfs>
  <cellXfs count="105">
    <xf numFmtId="0" fontId="0" fillId="0" borderId="0" xfId="0"/>
    <xf numFmtId="0" fontId="6" fillId="3" borderId="0" xfId="0" applyFont="1" applyFill="1" applyAlignment="1" applyProtection="1">
      <alignment horizontal="left" vertical="center" wrapText="1"/>
      <protection locked="0"/>
    </xf>
    <xf numFmtId="0" fontId="4" fillId="0" borderId="0" xfId="0" applyFont="1" applyAlignment="1">
      <alignment horizontal="left" vertical="center" wrapText="1"/>
    </xf>
    <xf numFmtId="0" fontId="6" fillId="0" borderId="0" xfId="0" applyFont="1" applyAlignment="1">
      <alignment horizontal="left" vertical="center" wrapText="1"/>
    </xf>
    <xf numFmtId="0" fontId="4" fillId="3" borderId="8" xfId="0" applyFont="1" applyFill="1" applyBorder="1" applyAlignment="1" applyProtection="1">
      <alignment horizontal="left" vertical="center" wrapText="1"/>
      <protection locked="0"/>
    </xf>
    <xf numFmtId="2" fontId="4" fillId="2" borderId="14"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18" xfId="0" applyFont="1" applyBorder="1" applyAlignment="1">
      <alignment horizontal="left" vertical="center" wrapText="1"/>
    </xf>
    <xf numFmtId="0" fontId="4" fillId="0" borderId="17" xfId="0" applyFont="1" applyBorder="1" applyAlignment="1">
      <alignment horizontal="left" vertical="center" wrapText="1"/>
    </xf>
    <xf numFmtId="0" fontId="4" fillId="0" borderId="8" xfId="0" applyFont="1" applyBorder="1" applyAlignment="1">
      <alignment horizontal="left" vertical="center" wrapText="1"/>
    </xf>
    <xf numFmtId="0" fontId="2" fillId="4" borderId="0" xfId="0" applyFont="1" applyFill="1" applyAlignment="1">
      <alignment horizontal="left" vertical="center" wrapText="1"/>
    </xf>
    <xf numFmtId="0" fontId="9" fillId="0" borderId="0" xfId="3" applyBorder="1" applyAlignment="1" applyProtection="1">
      <alignment horizontal="left" vertical="center" wrapText="1"/>
    </xf>
    <xf numFmtId="0" fontId="8" fillId="0" borderId="0" xfId="2" applyBorder="1" applyAlignment="1" applyProtection="1">
      <alignment horizontal="left" vertical="center"/>
    </xf>
    <xf numFmtId="0" fontId="5" fillId="4" borderId="2" xfId="0" applyFont="1" applyFill="1" applyBorder="1" applyAlignment="1">
      <alignment horizontal="left" vertical="center" wrapText="1"/>
    </xf>
    <xf numFmtId="0" fontId="8" fillId="0" borderId="1" xfId="2" applyFill="1" applyBorder="1" applyAlignment="1" applyProtection="1">
      <alignment horizontal="left" vertical="center" wrapText="1"/>
    </xf>
    <xf numFmtId="2" fontId="4" fillId="3" borderId="0" xfId="0" applyNumberFormat="1" applyFont="1" applyFill="1" applyAlignment="1" applyProtection="1">
      <alignment horizontal="left" vertical="center" wrapText="1"/>
      <protection locked="0"/>
    </xf>
    <xf numFmtId="2" fontId="4" fillId="3" borderId="2" xfId="0" applyNumberFormat="1" applyFont="1" applyFill="1" applyBorder="1" applyAlignment="1" applyProtection="1">
      <alignment horizontal="left" vertical="center" wrapText="1"/>
      <protection locked="0"/>
    </xf>
    <xf numFmtId="0" fontId="5" fillId="2" borderId="4" xfId="0" applyFont="1" applyFill="1" applyBorder="1" applyAlignment="1">
      <alignment horizontal="left" vertical="center" wrapText="1"/>
    </xf>
    <xf numFmtId="2" fontId="5" fillId="2" borderId="4" xfId="0" applyNumberFormat="1" applyFont="1" applyFill="1" applyBorder="1" applyAlignment="1">
      <alignment horizontal="left" vertical="center" wrapText="1"/>
    </xf>
    <xf numFmtId="0" fontId="5" fillId="0" borderId="0" xfId="0" applyFont="1" applyAlignment="1">
      <alignment horizontal="left" vertical="center" wrapText="1"/>
    </xf>
    <xf numFmtId="0" fontId="9" fillId="0" borderId="0" xfId="3" applyFill="1" applyBorder="1" applyAlignment="1" applyProtection="1">
      <alignment horizontal="left" vertical="center" wrapText="1"/>
    </xf>
    <xf numFmtId="2" fontId="4" fillId="0" borderId="0" xfId="0" applyNumberFormat="1" applyFont="1" applyAlignment="1">
      <alignment horizontal="left" vertical="center" wrapText="1"/>
    </xf>
    <xf numFmtId="0" fontId="4" fillId="2" borderId="15" xfId="0" applyFont="1" applyFill="1" applyBorder="1" applyAlignment="1">
      <alignment horizontal="left" vertical="center" wrapText="1"/>
    </xf>
    <xf numFmtId="14" fontId="4" fillId="3" borderId="14" xfId="0" applyNumberFormat="1" applyFont="1" applyFill="1" applyBorder="1" applyAlignment="1" applyProtection="1">
      <alignment horizontal="left" vertical="center" wrapText="1"/>
      <protection locked="0"/>
    </xf>
    <xf numFmtId="2" fontId="4" fillId="3" borderId="14" xfId="0" applyNumberFormat="1"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4" fillId="3" borderId="15" xfId="0" applyFont="1" applyFill="1" applyBorder="1" applyAlignment="1" applyProtection="1">
      <alignment horizontal="left" vertical="center" wrapText="1"/>
      <protection locked="0"/>
    </xf>
    <xf numFmtId="0" fontId="5" fillId="5" borderId="11" xfId="0" applyFont="1" applyFill="1" applyBorder="1" applyAlignment="1">
      <alignment horizontal="left" vertical="center" wrapText="1"/>
    </xf>
    <xf numFmtId="0" fontId="5" fillId="5" borderId="23" xfId="0" applyFont="1" applyFill="1" applyBorder="1" applyAlignment="1">
      <alignment horizontal="left" vertical="center" wrapText="1"/>
    </xf>
    <xf numFmtId="0" fontId="4" fillId="0" borderId="0" xfId="0" applyFont="1" applyAlignment="1">
      <alignment horizontal="left" vertical="top" wrapText="1"/>
    </xf>
    <xf numFmtId="0" fontId="6" fillId="4" borderId="2" xfId="0" applyFont="1" applyFill="1" applyBorder="1" applyAlignment="1">
      <alignment horizontal="left" vertical="center" wrapText="1"/>
    </xf>
    <xf numFmtId="0" fontId="6" fillId="3" borderId="2" xfId="0" applyFont="1" applyFill="1" applyBorder="1" applyAlignment="1" applyProtection="1">
      <alignment horizontal="left" vertical="center" wrapText="1"/>
      <protection locked="0"/>
    </xf>
    <xf numFmtId="0" fontId="6" fillId="0" borderId="8" xfId="0" applyFont="1" applyBorder="1" applyAlignment="1">
      <alignment horizontal="left" vertical="center" wrapText="1"/>
    </xf>
    <xf numFmtId="2" fontId="2" fillId="0" borderId="0" xfId="0" applyNumberFormat="1" applyFont="1" applyAlignment="1">
      <alignment horizontal="left" vertical="center" wrapText="1"/>
    </xf>
    <xf numFmtId="2" fontId="2" fillId="0" borderId="2" xfId="0" applyNumberFormat="1" applyFont="1" applyBorder="1" applyAlignment="1">
      <alignment horizontal="left" vertical="center" wrapText="1"/>
    </xf>
    <xf numFmtId="0" fontId="2" fillId="0" borderId="0" xfId="0" applyFont="1" applyAlignment="1">
      <alignment horizontal="left" vertical="center" wrapText="1"/>
    </xf>
    <xf numFmtId="0" fontId="5" fillId="5" borderId="5" xfId="0" applyFont="1" applyFill="1" applyBorder="1" applyAlignment="1">
      <alignment horizontal="left" vertical="center" wrapText="1"/>
    </xf>
    <xf numFmtId="0" fontId="8" fillId="0" borderId="9" xfId="2" applyFill="1" applyBorder="1" applyAlignment="1" applyProtection="1">
      <alignment horizontal="left" vertical="center" wrapText="1"/>
    </xf>
    <xf numFmtId="14" fontId="4" fillId="3" borderId="2" xfId="0" applyNumberFormat="1" applyFont="1" applyFill="1" applyBorder="1" applyAlignment="1" applyProtection="1">
      <alignment horizontal="left" vertical="center" wrapText="1"/>
      <protection locked="0"/>
    </xf>
    <xf numFmtId="0" fontId="4" fillId="3" borderId="2" xfId="0" applyFont="1" applyFill="1" applyBorder="1" applyAlignment="1" applyProtection="1">
      <alignment horizontal="left" vertical="center" wrapText="1"/>
      <protection locked="0"/>
    </xf>
    <xf numFmtId="0" fontId="5" fillId="2" borderId="2"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5" fillId="2" borderId="20" xfId="0" applyFont="1" applyFill="1" applyBorder="1" applyAlignment="1">
      <alignment horizontal="left" vertical="center" wrapText="1"/>
    </xf>
    <xf numFmtId="2" fontId="5" fillId="2" borderId="21" xfId="0" applyNumberFormat="1" applyFont="1" applyFill="1" applyBorder="1" applyAlignment="1">
      <alignment horizontal="left" vertical="center" wrapText="1"/>
    </xf>
    <xf numFmtId="2" fontId="5" fillId="2" borderId="22" xfId="0" applyNumberFormat="1" applyFont="1" applyFill="1" applyBorder="1" applyAlignment="1">
      <alignment horizontal="left" vertical="center" wrapText="1"/>
    </xf>
    <xf numFmtId="0" fontId="8" fillId="0" borderId="12" xfId="2" applyFill="1" applyBorder="1" applyAlignment="1" applyProtection="1">
      <alignment horizontal="left" vertical="center" wrapText="1"/>
    </xf>
    <xf numFmtId="0" fontId="10" fillId="0" borderId="0" xfId="0" applyFont="1" applyAlignment="1">
      <alignment horizontal="left" vertical="center" wrapText="1"/>
    </xf>
    <xf numFmtId="0" fontId="2" fillId="4" borderId="8" xfId="0" applyFont="1" applyFill="1" applyBorder="1" applyAlignment="1">
      <alignment horizontal="left" vertical="center" wrapText="1"/>
    </xf>
    <xf numFmtId="2" fontId="2" fillId="2" borderId="14" xfId="0" applyNumberFormat="1"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5" xfId="0" applyFont="1" applyFill="1" applyBorder="1" applyAlignment="1">
      <alignment horizontal="left" vertical="center" wrapText="1"/>
    </xf>
    <xf numFmtId="0" fontId="6" fillId="0" borderId="5" xfId="0" applyFont="1" applyBorder="1" applyAlignment="1">
      <alignment horizontal="left" vertical="center" wrapText="1"/>
    </xf>
    <xf numFmtId="0" fontId="5" fillId="4" borderId="11" xfId="0" applyFont="1" applyFill="1" applyBorder="1" applyAlignment="1">
      <alignment horizontal="left" vertical="center"/>
    </xf>
    <xf numFmtId="0" fontId="5" fillId="4" borderId="23" xfId="0" applyFont="1" applyFill="1" applyBorder="1" applyAlignment="1">
      <alignment horizontal="left" vertical="center" wrapText="1"/>
    </xf>
    <xf numFmtId="2" fontId="5" fillId="2" borderId="14" xfId="0" applyNumberFormat="1" applyFont="1" applyFill="1" applyBorder="1" applyAlignment="1">
      <alignment horizontal="left" vertical="center" wrapText="1"/>
    </xf>
    <xf numFmtId="2" fontId="2" fillId="2" borderId="14" xfId="0" quotePrefix="1" applyNumberFormat="1" applyFont="1" applyFill="1" applyBorder="1" applyAlignment="1">
      <alignment horizontal="left" vertical="center" wrapText="1"/>
    </xf>
    <xf numFmtId="0" fontId="2" fillId="5" borderId="11" xfId="0" applyFont="1" applyFill="1" applyBorder="1" applyAlignment="1">
      <alignment horizontal="left" vertical="center"/>
    </xf>
    <xf numFmtId="0" fontId="2" fillId="5" borderId="10" xfId="0" applyFont="1" applyFill="1" applyBorder="1" applyAlignment="1">
      <alignment horizontal="left" vertical="center"/>
    </xf>
    <xf numFmtId="0" fontId="5" fillId="4" borderId="11" xfId="0" applyFont="1" applyFill="1" applyBorder="1" applyAlignment="1">
      <alignment horizontal="left" vertical="center" wrapText="1"/>
    </xf>
    <xf numFmtId="0" fontId="4" fillId="0" borderId="2" xfId="0" applyFont="1" applyBorder="1" applyAlignment="1">
      <alignment horizontal="left" vertical="center" wrapText="1"/>
    </xf>
    <xf numFmtId="0" fontId="7" fillId="0" borderId="2" xfId="1" applyFont="1" applyBorder="1" applyAlignment="1" applyProtection="1">
      <alignment horizontal="left" vertical="center" wrapText="1"/>
    </xf>
    <xf numFmtId="0" fontId="7" fillId="0" borderId="0" xfId="1" applyFont="1" applyBorder="1" applyAlignment="1" applyProtection="1">
      <alignment horizontal="left" vertical="center" wrapText="1"/>
    </xf>
    <xf numFmtId="0" fontId="2" fillId="4" borderId="2" xfId="0" applyFont="1" applyFill="1" applyBorder="1" applyAlignment="1">
      <alignment horizontal="left" vertical="center" wrapText="1"/>
    </xf>
    <xf numFmtId="2" fontId="6" fillId="3" borderId="2" xfId="0" applyNumberFormat="1" applyFont="1" applyFill="1" applyBorder="1" applyAlignment="1" applyProtection="1">
      <alignment horizontal="left" vertical="center" wrapText="1"/>
      <protection locked="0"/>
    </xf>
    <xf numFmtId="2" fontId="5" fillId="0" borderId="0" xfId="0" applyNumberFormat="1" applyFont="1" applyAlignment="1">
      <alignment horizontal="left" vertical="center" wrapText="1"/>
    </xf>
    <xf numFmtId="2" fontId="2" fillId="4" borderId="0" xfId="0" applyNumberFormat="1" applyFont="1" applyFill="1" applyAlignment="1">
      <alignment horizontal="left" vertical="center" wrapText="1"/>
    </xf>
    <xf numFmtId="0" fontId="2" fillId="4" borderId="23" xfId="0" applyFont="1" applyFill="1" applyBorder="1" applyAlignment="1">
      <alignment horizontal="left" vertical="center" wrapText="1"/>
    </xf>
    <xf numFmtId="0" fontId="6" fillId="6" borderId="2" xfId="0" applyFont="1" applyFill="1" applyBorder="1" applyAlignment="1" applyProtection="1">
      <alignment horizontal="left" vertical="center" wrapText="1"/>
      <protection locked="0"/>
    </xf>
    <xf numFmtId="0" fontId="6" fillId="6" borderId="0" xfId="0" applyFont="1" applyFill="1" applyAlignment="1" applyProtection="1">
      <alignment horizontal="left" vertical="center" wrapText="1"/>
      <protection locked="0"/>
    </xf>
    <xf numFmtId="0" fontId="6" fillId="0" borderId="17" xfId="0" applyFont="1" applyBorder="1" applyAlignment="1">
      <alignment horizontal="left" vertical="center" wrapText="1"/>
    </xf>
    <xf numFmtId="0" fontId="9" fillId="0" borderId="17" xfId="3" applyBorder="1" applyAlignment="1" applyProtection="1">
      <alignment horizontal="left" vertical="center" wrapText="1"/>
    </xf>
    <xf numFmtId="0" fontId="2" fillId="4" borderId="14" xfId="0" applyFont="1" applyFill="1" applyBorder="1" applyAlignment="1">
      <alignment horizontal="left" vertical="center" wrapText="1"/>
    </xf>
    <xf numFmtId="0" fontId="5" fillId="4" borderId="8" xfId="0" applyFont="1" applyFill="1" applyBorder="1" applyAlignment="1">
      <alignment horizontal="left" vertical="center"/>
    </xf>
    <xf numFmtId="0" fontId="5" fillId="4" borderId="17" xfId="0" applyFont="1" applyFill="1" applyBorder="1" applyAlignment="1">
      <alignment horizontal="left" vertical="center"/>
    </xf>
    <xf numFmtId="2" fontId="5" fillId="4" borderId="21" xfId="0" applyNumberFormat="1" applyFont="1" applyFill="1" applyBorder="1" applyAlignment="1">
      <alignment horizontal="left" vertical="center" wrapText="1"/>
    </xf>
    <xf numFmtId="2" fontId="5" fillId="2" borderId="2" xfId="0" applyNumberFormat="1" applyFont="1" applyFill="1" applyBorder="1" applyAlignment="1">
      <alignment horizontal="left" vertical="center" wrapText="1"/>
    </xf>
    <xf numFmtId="0" fontId="8" fillId="0" borderId="0" xfId="2" applyFill="1" applyBorder="1" applyAlignment="1" applyProtection="1">
      <alignment horizontal="left" vertical="center" wrapText="1"/>
    </xf>
    <xf numFmtId="2" fontId="4" fillId="0" borderId="17" xfId="0" applyNumberFormat="1" applyFont="1" applyBorder="1" applyAlignment="1" applyProtection="1">
      <alignment horizontal="left" vertical="center" wrapText="1"/>
      <protection locked="0"/>
    </xf>
    <xf numFmtId="0" fontId="9" fillId="2" borderId="19" xfId="3" applyFill="1" applyBorder="1" applyAlignment="1" applyProtection="1">
      <alignment horizontal="left" vertical="center" wrapText="1"/>
    </xf>
    <xf numFmtId="0" fontId="4" fillId="0" borderId="0" xfId="0" applyFont="1" applyAlignment="1">
      <alignment horizontal="left" wrapText="1"/>
    </xf>
    <xf numFmtId="0" fontId="4" fillId="0" borderId="14" xfId="0" applyFont="1" applyBorder="1" applyAlignment="1">
      <alignment horizontal="left" wrapText="1"/>
    </xf>
    <xf numFmtId="0" fontId="4" fillId="0" borderId="14" xfId="0" applyFont="1" applyBorder="1" applyAlignment="1" applyProtection="1">
      <alignment horizontal="left" wrapText="1"/>
      <protection locked="0"/>
    </xf>
    <xf numFmtId="0" fontId="4" fillId="0" borderId="24" xfId="0" applyFont="1" applyBorder="1" applyAlignment="1">
      <alignment horizontal="left" wrapText="1"/>
    </xf>
    <xf numFmtId="0" fontId="4" fillId="0" borderId="15" xfId="0" applyFont="1" applyBorder="1" applyAlignment="1">
      <alignment horizontal="left" wrapText="1"/>
    </xf>
    <xf numFmtId="0" fontId="4" fillId="0" borderId="6" xfId="0" applyFont="1" applyBorder="1" applyAlignment="1">
      <alignment horizontal="left" wrapText="1"/>
    </xf>
    <xf numFmtId="0" fontId="4" fillId="4" borderId="2" xfId="0" applyFont="1" applyFill="1" applyBorder="1" applyAlignment="1">
      <alignment horizontal="left" wrapText="1"/>
    </xf>
    <xf numFmtId="0" fontId="9" fillId="0" borderId="6" xfId="3" applyFill="1" applyBorder="1" applyAlignment="1" applyProtection="1">
      <alignment horizontal="left" vertical="center" wrapText="1"/>
    </xf>
    <xf numFmtId="0" fontId="11" fillId="0" borderId="0" xfId="1" applyFont="1" applyFill="1" applyAlignment="1" applyProtection="1">
      <alignment horizontal="left" vertical="center" wrapText="1"/>
    </xf>
    <xf numFmtId="0" fontId="5" fillId="0" borderId="17" xfId="3" applyFont="1" applyFill="1" applyBorder="1" applyAlignment="1" applyProtection="1">
      <alignment horizontal="left" vertical="center" wrapText="1"/>
    </xf>
    <xf numFmtId="0" fontId="5" fillId="4" borderId="10" xfId="1" applyFont="1" applyFill="1" applyBorder="1" applyAlignment="1" applyProtection="1">
      <alignment horizontal="left" vertical="center" wrapText="1"/>
    </xf>
    <xf numFmtId="0" fontId="7" fillId="0" borderId="14" xfId="1" applyFont="1" applyBorder="1" applyAlignment="1" applyProtection="1">
      <alignment horizontal="left" vertical="center" wrapText="1"/>
    </xf>
    <xf numFmtId="0" fontId="7" fillId="0" borderId="15" xfId="1" applyFont="1" applyBorder="1" applyAlignment="1" applyProtection="1">
      <alignment horizontal="left" vertical="center" wrapText="1"/>
    </xf>
    <xf numFmtId="0" fontId="6"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left" vertical="center"/>
    </xf>
    <xf numFmtId="0" fontId="6" fillId="4" borderId="0" xfId="0" applyFont="1" applyFill="1" applyAlignment="1">
      <alignment horizontal="left" vertical="center" wrapText="1"/>
    </xf>
    <xf numFmtId="0" fontId="10"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0" xfId="0" applyFont="1" applyAlignment="1">
      <alignment wrapText="1"/>
    </xf>
    <xf numFmtId="0" fontId="12" fillId="0" borderId="0" xfId="0" applyFont="1" applyAlignment="1">
      <alignment horizontal="left" vertical="center" wrapText="1"/>
    </xf>
    <xf numFmtId="2" fontId="6"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0" fontId="6" fillId="0" borderId="0" xfId="0" applyFont="1" applyAlignment="1" applyProtection="1">
      <alignment horizontal="left" vertical="center" wrapText="1"/>
      <protection hidden="1"/>
    </xf>
    <xf numFmtId="2" fontId="12" fillId="0" borderId="0" xfId="0" applyNumberFormat="1" applyFont="1" applyAlignment="1">
      <alignment horizontal="left" vertical="center" wrapText="1"/>
    </xf>
    <xf numFmtId="0" fontId="10" fillId="0" borderId="0" xfId="0" applyFont="1" applyAlignment="1">
      <alignment vertical="center" wrapText="1"/>
    </xf>
  </cellXfs>
  <cellStyles count="4">
    <cellStyle name="Heading 1" xfId="2" builtinId="16" customBuiltin="1"/>
    <cellStyle name="Heading 2" xfId="3" builtinId="17" customBuiltin="1"/>
    <cellStyle name="Hyperlink" xfId="1" builtinId="8"/>
    <cellStyle name="Normal" xfId="0" builtinId="0"/>
  </cellStyles>
  <dxfs count="130">
    <dxf>
      <font>
        <color theme="1"/>
      </font>
    </dxf>
    <dxf>
      <fill>
        <patternFill>
          <bgColor rgb="FFE2EFDA"/>
        </patternFill>
      </fill>
    </dxf>
    <dxf>
      <fill>
        <patternFill>
          <bgColor rgb="FFE2EFDA"/>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2"/>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2"/>
        <name val="Arial"/>
        <family val="2"/>
        <scheme val="none"/>
      </font>
      <alignment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style="thin">
          <color indexed="64"/>
        </right>
        <top/>
        <bottom/>
      </border>
      <protection locked="1" hidden="0"/>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name val="Arial"/>
        <family val="2"/>
        <scheme val="none"/>
      </font>
      <alignment horizontal="left" vertical="center" textRotation="0" indent="0" justifyLastLine="0" shrinkToFit="0" readingOrder="0"/>
    </dxf>
    <dxf>
      <border>
        <bottom style="thin">
          <color indexed="64"/>
        </bottom>
      </border>
    </dxf>
    <dxf>
      <font>
        <b/>
        <strike val="0"/>
        <outline val="0"/>
        <shadow val="0"/>
        <u val="none"/>
        <vertAlign val="baseline"/>
        <sz val="12"/>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sz val="12"/>
        <name val="Arial"/>
        <family val="2"/>
        <scheme val="none"/>
      </font>
      <alignment horizontal="left" vertical="center" textRotation="0" indent="0" justifyLastLine="0" shrinkToFit="0" readingOrder="0"/>
    </dxf>
    <dxf>
      <font>
        <b/>
        <strike val="0"/>
        <outline val="0"/>
        <shadow val="0"/>
        <vertAlign val="baseline"/>
        <sz val="12"/>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29" dataDxfId="128">
  <autoFilter ref="A9:B14" xr:uid="{7EBF9311-A278-4083-BF4D-937B4AAC2ED7}">
    <filterColumn colId="0" hiddenButton="1"/>
    <filterColumn colId="1" hiddenButton="1"/>
  </autoFilter>
  <tableColumns count="2">
    <tableColumn id="1" xr3:uid="{EC08AA9D-D8AA-4D04-81C0-5F70E5CFF32B}" name="Topic of each table" dataDxfId="127"/>
    <tableColumn id="2" xr3:uid="{8626C486-F03D-46F8-B4FF-6F484971E7CB}" name="Link to each worksheet" dataDxfId="126"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37188-585B-4C8B-93B8-9D1740DB4F32}" name="Table2" displayName="Table2" ref="A164:A180" totalsRowShown="0" headerRowDxfId="61" dataDxfId="60">
  <autoFilter ref="A164:A180" xr:uid="{9FE37188-585B-4C8B-93B8-9D1740DB4F32}">
    <filterColumn colId="0" hiddenButton="1"/>
  </autoFilter>
  <tableColumns count="1">
    <tableColumn id="1" xr3:uid="{AE2C36C7-F303-4C5A-8166-779851025928}" name="Itchen Specific Landcover Types" dataDxfId="59"/>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144:A161" totalsRowShown="0" headerRowDxfId="58" dataDxfId="57">
  <autoFilter ref="A144:A161" xr:uid="{27E373C5-D0CE-42F2-9526-68F6C3493A4E}">
    <filterColumn colId="0" hiddenButton="1"/>
  </autoFilter>
  <tableColumns count="1">
    <tableColumn id="1" xr3:uid="{53B368C1-8BC9-40BE-BF12-2BD44CBABE8A}" name="All Possible Landcover Types" dataDxfId="56"/>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139:B141" totalsRowShown="0" headerRowDxfId="55" dataDxfId="54">
  <autoFilter ref="A139:B141" xr:uid="{92ED230A-D03F-4AFE-B6E2-A2C0CA247A6E}">
    <filterColumn colId="0" hiddenButton="1"/>
    <filterColumn colId="1" hiddenButton="1"/>
  </autoFilter>
  <tableColumns count="2">
    <tableColumn id="1" xr3:uid="{733091DA-D7C2-4BC5-B808-44E4059922C0}" name="NVZ" dataDxfId="53"/>
    <tableColumn id="2" xr3:uid="{F0C58FBC-95F8-49DE-8689-2F83AB0C11EB}" name="Farmscoper equivalent" dataDxfId="52"/>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130:C136" totalsRowShown="0" headerRowDxfId="51" dataDxfId="50">
  <autoFilter ref="A130:C136" xr:uid="{1A6CB2E1-69B4-4AD4-994C-659133C27DDB}">
    <filterColumn colId="0" hiddenButton="1"/>
    <filterColumn colId="1" hiddenButton="1"/>
    <filterColumn colId="2" hiddenButton="1"/>
  </autoFilter>
  <tableColumns count="3">
    <tableColumn id="1" xr3:uid="{22766906-A0A6-4E97-AF30-1597153F0350}" name="Soilscape drainage term" dataDxfId="49"/>
    <tableColumn id="2" xr3:uid="{F002BB36-823A-4836-A21B-B579E90BABD3}" name="Farmscoper term" dataDxfId="48"/>
    <tableColumn id="3" xr3:uid="{9175DC56-F38C-4D28-A172-11226D1D23E9}" name="Definition" dataDxfId="47"/>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126:B127" totalsRowShown="0" headerRowDxfId="46" dataDxfId="45">
  <autoFilter ref="A126:B127" xr:uid="{91B3FB2B-EB57-4104-B68D-005ACE17DAAA}">
    <filterColumn colId="0" hiddenButton="1"/>
    <filterColumn colId="1" hiddenButton="1"/>
  </autoFilter>
  <tableColumns count="2">
    <tableColumn id="1" xr3:uid="{89EA0223-64FE-4218-878D-A564ADBADDD1}" name="Operational Catchment" dataDxfId="44"/>
    <tableColumn id="2" xr3:uid="{EFCB9C34-1A22-413A-B569-EB7D0539CE10}" name="Farmscoper equivalent" dataDxfId="43"/>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100:K123" totalsRowShown="0" headerRowDxfId="42" dataDxfId="41">
  <autoFilter ref="A100:K123"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40"/>
    <tableColumn id="2" xr3:uid="{6314E66D-7991-4DDA-9A1D-1FE2961CCE28}" name="Mid" dataDxfId="39"/>
    <tableColumn id="3" xr3:uid="{0B72D170-B3FB-410B-B94E-238D55DCBE68}" name="Farmscoper Equivalent" dataDxfId="38"/>
    <tableColumn id="4" xr3:uid="{0F992BC0-BDCD-49A0-800D-DE9390E83D4D}" name="P Urban Runoff Coefficient " dataDxfId="37"/>
    <tableColumn id="5" xr3:uid="{CC4E8ED1-10B1-497F-85BB-B21C5930A734}" name="N Urban Runoff Coefficient (kg/ha/yr)" dataDxfId="36"/>
    <tableColumn id="6" xr3:uid="{8AA02858-4B6E-42E1-8EB2-D3C4BAB72698}" name="Residential P export coefficient (kg/ha/yr)" dataDxfId="35"/>
    <tableColumn id="7" xr3:uid="{24BE5444-EEC8-44A1-8B49-79261DDC1D84}" name="Commercial / industrial P export coefficient (kg/ha/yr)" dataDxfId="34"/>
    <tableColumn id="8" xr3:uid="{3D907FB1-AFBD-4D65-A7C1-7FCBDBA7E010}" name="Open urban P export coefficient (kg/ha/yr)" dataDxfId="33"/>
    <tableColumn id="9" xr3:uid="{659D953B-CEE1-475B-B79F-09EDE2124F89}" name="Residential N export coefficient (kg/ha/yr)" dataDxfId="32"/>
    <tableColumn id="10" xr3:uid="{B077E248-9579-43F2-9FD4-BCCA722D6FC1}" name="Commercial / industrial N export coefficient (kg/ha/yr)" dataDxfId="31"/>
    <tableColumn id="11" xr3:uid="{106BF2CF-BA30-4A6D-AF89-E886BEBDE8D6}" name="Open urban N export coefficient (kg/ha/yr)" dataDxfId="30"/>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15:M97" totalsRowShown="0" headerRowDxfId="29" dataDxfId="28">
  <autoFilter ref="A15:M97"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7"/>
    <tableColumn id="2" xr3:uid="{B8D75754-E7F8-4B85-993C-7907E45F1CAE}" name="Farmscoper Farm Term" dataDxfId="26"/>
    <tableColumn id="3" xr3:uid="{EC77A0A4-C437-4818-A316-7C71A29A7121}" name="NVZ" dataDxfId="25"/>
    <tableColumn id="4" xr3:uid="{B98F73F4-9677-4844-877F-8A359508FB3B}" name="Climate" dataDxfId="24"/>
    <tableColumn id="5" xr3:uid="{7C621915-7D3D-4055-8347-C883D9EE99FE}" name="Farmscoper Soil Drainage Term" dataDxfId="23"/>
    <tableColumn id="6" xr3:uid="{4C66E893-8377-439B-93D4-1CE695F419C9}" name="Lookup" dataDxfId="22">
      <calculatedColumnFormula>"|"&amp;"|"&amp;"|"&amp;E16</calculatedColumnFormula>
    </tableColumn>
    <tableColumn id="7" xr3:uid="{CF6B9BF0-3AFB-4049-8321-66DDFD8F9508}" name="Phosphorus export coefficient" dataDxfId="21"/>
    <tableColumn id="8" xr3:uid="{EBD2571A-6A4E-4448-BEB2-CCC5A7E48254}" name="Nitrogen export coefficient" dataDxfId="20"/>
    <tableColumn id="9" xr3:uid="{96CC571C-13E4-474B-8016-76B1B26E6BAE}" name="Farm Lookup" dataDxfId="19"/>
    <tableColumn id="10" xr3:uid="{511A3753-F9BA-45C6-B34A-6CC17D10251D}" name="Mean P export of farm type and climate combination" dataDxfId="18"/>
    <tableColumn id="11" xr3:uid="{A4A4CA5F-B40A-4D96-B1F7-2F58E7D4D811}" name="Mean N export of farm type and climate combination" dataDxfId="17"/>
    <tableColumn id="12" xr3:uid="{6A6F3AA5-4A40-440E-9BBC-E26F5AF39750}" name="Mean P export of farm type" dataDxfId="16"/>
    <tableColumn id="13" xr3:uid="{EF05C3C7-DB49-4B8E-8C81-E6CFAC3E3633}" name="Mean N export of farm type" dataDxfId="15"/>
  </tableColumns>
  <tableStyleInfo name="Table Style 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J12" totalsRowShown="0" headerRowDxfId="14" dataDxfId="13">
  <autoFilter ref="A4:J12" xr:uid="{8297F6D2-7293-4422-8A67-AEAD142206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tableColumns count="10">
    <tableColumn id="1" xr3:uid="{48A0BD24-7BCD-463A-B827-831E2B2C2D72}" name="Discharge Site Name" dataDxfId="12"/>
    <tableColumn id="2" xr3:uid="{1CC474C8-63E1-4F68-A098-5E908E40DA49}" name="Phosphorus, Total as P (mg/l)" dataDxfId="11"/>
    <tableColumn id="3" xr3:uid="{2E3488FB-E48E-4A15-AFE7-EF2D95C19F27}" name="Nitrogen, Total as N (mg/l)" dataDxfId="10"/>
    <tableColumn id="4" xr3:uid="{94BDE985-E688-430A-9815-4EDF1FE7157B}" name="Phosphorus, Total as P (mg/l), permit post 2025" dataDxfId="9"/>
    <tableColumn id="5" xr3:uid="{8BCC1398-9B1F-4574-ACC3-119FC5E35CA6}" name="Nitrogen, Total as N (mg/l), permit post 2025" dataDxfId="8"/>
    <tableColumn id="6" xr3:uid="{FB3CD2EC-3EEF-41C1-B41D-97FDFB83D5D0}" name="Nitrogen Total as N (mg/l) with deductible acceptable loading" dataDxfId="7"/>
    <tableColumn id="7" xr3:uid="{9B3BFA6C-4F51-4202-90EE-5C006B8C8234}" name="Nitrogen Total as N (mg/l), permit post 2025 with deductible acceptable loading" dataDxfId="6"/>
    <tableColumn id="8" xr3:uid="{9DBCCBAD-4CC8-4875-97C0-F8A3AEBAC4ED}" name="Phosphorus, Total as P (mg/l), permit post 2030" dataDxfId="5"/>
    <tableColumn id="9" xr3:uid="{2ECB18E0-10A3-40CD-8028-D953C18B8F89}" name="Nitrogen, Total as N (mg/l), permit post 2030" dataDxfId="4"/>
    <tableColumn id="10" xr3:uid="{24B4A2AC-A6BF-4E36-BBFF-D86ACA0C2387}" name="Nitrogen Total as N (mg/l), permit post 2030 with deductible acceptable loading"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25" dataDxfId="123" headerRowBorderDxfId="124" tableBorderDxfId="122" totalsRowBorderDxfId="121">
  <autoFilter ref="A40:B44" xr:uid="{64981484-4795-461F-A3C7-626CD012A06C}">
    <filterColumn colId="0" hiddenButton="1"/>
    <filterColumn colId="1" hiddenButton="1"/>
  </autoFilter>
  <tableColumns count="2">
    <tableColumn id="1" xr3:uid="{7B0543B4-03E3-4FAF-BFF9-98B834A2A253}" name="Description of the information:" dataDxfId="120"/>
    <tableColumn id="2" xr3:uid="{5C5EB3D3-CF00-43BE-8853-5602F78856CB}" name="Link" dataDxfId="119"/>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6" totalsRowShown="0" headerRowDxfId="118" dataDxfId="116" headerRowBorderDxfId="117" tableBorderDxfId="115" totalsRowBorderDxfId="114">
  <autoFilter ref="A4:C16" xr:uid="{A1B5B190-0D99-4438-A727-7A56D64D1229}">
    <filterColumn colId="0" hiddenButton="1"/>
    <filterColumn colId="1" hiddenButton="1"/>
    <filterColumn colId="2" hiddenButton="1"/>
  </autoFilter>
  <tableColumns count="3">
    <tableColumn id="1" xr3:uid="{CB73BF63-0885-411C-A54D-2DF95FDFC003}" name="Description of required information" dataDxfId="113"/>
    <tableColumn id="2" xr3:uid="{D22CDBE7-9B75-4248-A951-0D061DAA9F1C}" name="Data entry column" dataDxfId="112"/>
    <tableColumn id="4" xr3:uid="{20424A8D-23FA-4C1D-B394-6A4A0726E8D6}" name="Additional data entry column" dataDxfId="111"/>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8:B29" totalsRowShown="0" headerRowDxfId="110" dataDxfId="108" headerRowBorderDxfId="109" tableBorderDxfId="107">
  <autoFilter ref="A18:B29" xr:uid="{B50C45A2-2A77-478E-B226-DC5B3B2EA72E}">
    <filterColumn colId="0" hiddenButton="1"/>
    <filterColumn colId="1" hiddenButton="1"/>
  </autoFilter>
  <tableColumns count="2">
    <tableColumn id="1" xr3:uid="{FA8C78F6-50A3-498F-8975-6D1EC817B86B}" name="Description of values generated" dataDxfId="106"/>
    <tableColumn id="2" xr3:uid="{150A0AA5-FDF2-4BA1-A9A8-36A566F3E6CC}" name="Values generated" dataDxfId="105"/>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104" dataDxfId="102" headerRowBorderDxfId="103" tableBorderDxfId="101" totalsRowBorderDxfId="100">
  <autoFilter ref="A4:B8" xr:uid="{E51AE02F-7B0C-4640-BEBD-8FD46432F29C}">
    <filterColumn colId="0" hiddenButton="1"/>
    <filterColumn colId="1" hiddenButton="1"/>
  </autoFilter>
  <tableColumns count="2">
    <tableColumn id="1" xr3:uid="{C513A266-837A-4378-8552-D156135B549F}" name="Description of required information" dataDxfId="99"/>
    <tableColumn id="2" xr3:uid="{9FEADC6D-D9F7-40A8-AB95-390DAB627A00}" name="Data entry Column" dataDxfId="98"/>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7" dataDxfId="95" headerRowBorderDxfId="96" tableBorderDxfId="94" totalsRowBorderDxfId="93">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dataDxfId="92"/>
    <tableColumn id="2" xr3:uid="{DA6AF240-7DDF-40CC-B3C9-0A6C10900A68}" name="Area (ha)" dataDxfId="91"/>
    <tableColumn id="3" xr3:uid="{6E639853-0D25-4A34-A943-04CF61F257AF}" name="Annual phosphorus nutrient export  _x000a_(kg TP/yr)" dataDxfId="90"/>
    <tableColumn id="4" xr3:uid="{D46D9DE3-2913-45A9-81EF-5C0B16A60B70}" name="Annual nitrogen nutrient export  _x000a_(kg TN/yr)" dataDxfId="89"/>
    <tableColumn id="5" xr3:uid="{B35F3CE8-F7D9-4526-B8D6-064B09EE0E77}" name="Notes on data" dataDxfId="88"/>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7" dataDxfId="86">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dataDxfId="85"/>
    <tableColumn id="2" xr3:uid="{2BF0443C-5885-452F-9860-409F1647E1C1}" name="Area (ha)" dataDxfId="84"/>
    <tableColumn id="3" xr3:uid="{25FC9D0F-4B95-491D-B24D-E74B3A1DBC98}" name="Annual phosphorus nutrient export _x000a_(kg TP/yr)" dataDxfId="83"/>
    <tableColumn id="4" xr3:uid="{D4EA72A6-0C9C-4A1E-8AAC-10EB38F195A8}" name="Annual nitrogen nutrient export_x000a_(kg TN/yr)" dataDxfId="82"/>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K29" totalsRowShown="0" headerRowDxfId="81" dataDxfId="80">
  <autoFilter ref="A3:K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dataDxfId="79"/>
    <tableColumn id="2" xr3:uid="{72D29FD7-7898-4191-A97D-55B2AC2A6039}" name="SuDS catchment area (ha)" dataDxfId="78"/>
    <tableColumn id="10" xr3:uid="{C118AB6C-A0C7-46A0-B4D4-823E8172F281}" name="Percentage of flow entering the SuDS (%)" dataDxfId="77"/>
    <tableColumn id="3" xr3:uid="{ED81FC8E-03C3-4BFE-9F76-89B40F31A34D}" name="Annual phosphorus inputs to SuDS feature(s)_x000a_(kg TP/yr)" dataDxfId="76">
      <calculatedColumnFormula>IFERROR(IF(ISBLANK(A4),"",IF(ISBLANK(B4),"",VLOOKUP(A4,Nutrients_from_future_land_use!$A$5:$D$21,3,FALSE)*(100*B4/VLOOKUP(A4,Nutrients_from_future_land_use!$A$5:$D$21,2,FALSE)))),"")</calculatedColumnFormula>
    </tableColumn>
    <tableColumn id="4" xr3:uid="{C9DF269B-9235-47CA-9628-CA0EAEA7E887}" name="Annual nitrogen inputs to SuDS feature(s)_x000a_(kg TN/yr)" dataDxfId="75">
      <calculatedColumnFormula>IFERROR(IF(ISBLANK(A4),"",IF(ISBLANK(B4),"",VLOOKUP(A4,Nutrients_from_future_land_use!$A$5:$D$21,4,FALSE)*(B4/VLOOKUP(A4,Nutrients_from_future_land_use!$A$5:$D$21,2,FALSE)))),"")</calculatedColumnFormula>
    </tableColumn>
    <tableColumn id="5" xr3:uid="{95439CAD-05D0-4028-94D4-451B848D06FE}" name="Name of SuDS feature(s)" dataDxfId="74"/>
    <tableColumn id="7" xr3:uid="{C0ABEF49-1594-4E02-BF91-3B0541CD3C39}" name="TP removal rate for features - user specified (%)" dataDxfId="73"/>
    <tableColumn id="8" xr3:uid="{6CE040BE-33E5-44DA-B389-E1BC789E21E5}" name="TN removal rate for features - user specified (%)" dataDxfId="72">
      <calculatedColumnFormula>IF(OR(#REF!="No",ISBLANK(#REF!)),"",IF(#REF!="Yes","","TN removal rate - user specified (%)"))</calculatedColumnFormula>
    </tableColumn>
    <tableColumn id="13" xr3:uid="{AD318CD3-7F23-4854-891B-91CB70148FB9}" name="Annual phosphorus load removed by SuDS_x000a_(kg TP/yr)" dataDxfId="71"/>
    <tableColumn id="14" xr3:uid="{1156F97A-C06E-4041-A8E9-274F94CC02BE}" name="Annual nitrogen load removed by SuDS_x000a_(kg TP/yr)" dataDxfId="70"/>
    <tableColumn id="6" xr3:uid="{E06A970A-6835-4E49-9119-FEAF7BC8D4A0}" name="Notes on data" dataDxfId="69">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8" dataDxfId="66" headerRowBorderDxfId="67" tableBorderDxfId="65" totalsRowBorderDxfId="64">
  <autoFilter ref="A4:B21" xr:uid="{A0BD0106-977A-4B15-9C53-C66CDF6772BD}">
    <filterColumn colId="0" hiddenButton="1"/>
    <filterColumn colId="1" hiddenButton="1"/>
  </autoFilter>
  <tableColumns count="2">
    <tableColumn id="1" xr3:uid="{31004191-352C-44A7-A242-30E88F4CD5ED}" name="Description of values generated" dataDxfId="63"/>
    <tableColumn id="2" xr3:uid="{C357CE45-1FD7-4EF9-804B-579D3A1CC1A7}" name="Values generated" dataDxfId="62"/>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42023"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 Id="rId9" Type="http://schemas.openxmlformats.org/officeDocument/2006/relationships/table" Target="../tables/table1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1640625" defaultRowHeight="15.5" x14ac:dyDescent="0.35"/>
  <cols>
    <col min="1" max="1" width="133.453125" style="3" customWidth="1"/>
    <col min="2" max="2" width="44.81640625" style="3" customWidth="1"/>
    <col min="3" max="207" width="8.54296875" style="3" customWidth="1"/>
    <col min="208" max="16384" width="8.81640625" style="3"/>
  </cols>
  <sheetData>
    <row r="1" spans="1:2" ht="36.75" customHeight="1" x14ac:dyDescent="0.35">
      <c r="A1" s="12" t="s">
        <v>0</v>
      </c>
    </row>
    <row r="2" spans="1:2" ht="26.25" customHeight="1" x14ac:dyDescent="0.35">
      <c r="A2" s="2" t="s">
        <v>1</v>
      </c>
    </row>
    <row r="3" spans="1:2" ht="30.75" customHeight="1" x14ac:dyDescent="0.35">
      <c r="A3" s="2" t="s">
        <v>2</v>
      </c>
    </row>
    <row r="4" spans="1:2" ht="26.25" customHeight="1" x14ac:dyDescent="0.35">
      <c r="A4" s="2" t="s">
        <v>3</v>
      </c>
    </row>
    <row r="5" spans="1:2" ht="26.25" customHeight="1" x14ac:dyDescent="0.35">
      <c r="A5" s="3" t="s">
        <v>4</v>
      </c>
    </row>
    <row r="6" spans="1:2" ht="50.25" customHeight="1" x14ac:dyDescent="0.35">
      <c r="A6" s="3" t="s">
        <v>5</v>
      </c>
    </row>
    <row r="7" spans="1:2" ht="36" customHeight="1" x14ac:dyDescent="0.35">
      <c r="A7" s="3" t="s">
        <v>6</v>
      </c>
    </row>
    <row r="8" spans="1:2" ht="28.5" customHeight="1" x14ac:dyDescent="0.35">
      <c r="A8" s="11" t="s">
        <v>7</v>
      </c>
    </row>
    <row r="9" spans="1:2" x14ac:dyDescent="0.35">
      <c r="A9" s="13" t="s">
        <v>8</v>
      </c>
      <c r="B9" s="13" t="s">
        <v>9</v>
      </c>
    </row>
    <row r="10" spans="1:2" ht="16.5" customHeight="1" x14ac:dyDescent="0.35">
      <c r="A10" s="59" t="s">
        <v>10</v>
      </c>
      <c r="B10" s="60" t="s">
        <v>11</v>
      </c>
    </row>
    <row r="11" spans="1:2" ht="16.5" customHeight="1" x14ac:dyDescent="0.35">
      <c r="A11" s="59" t="s">
        <v>12</v>
      </c>
      <c r="B11" s="60" t="s">
        <v>13</v>
      </c>
    </row>
    <row r="12" spans="1:2" ht="16.5" customHeight="1" x14ac:dyDescent="0.35">
      <c r="A12" s="59" t="s">
        <v>14</v>
      </c>
      <c r="B12" s="60" t="s">
        <v>15</v>
      </c>
    </row>
    <row r="13" spans="1:2" ht="16.5" customHeight="1" x14ac:dyDescent="0.35">
      <c r="A13" s="59" t="s">
        <v>16</v>
      </c>
      <c r="B13" s="60" t="s">
        <v>17</v>
      </c>
    </row>
    <row r="14" spans="1:2" ht="16.5" customHeight="1" x14ac:dyDescent="0.35">
      <c r="A14" s="59" t="s">
        <v>18</v>
      </c>
      <c r="B14" s="60" t="s">
        <v>19</v>
      </c>
    </row>
    <row r="15" spans="1:2" ht="33" customHeight="1" x14ac:dyDescent="0.35">
      <c r="A15" s="11" t="s">
        <v>20</v>
      </c>
      <c r="B15" s="61"/>
    </row>
    <row r="16" spans="1:2" ht="20.25" customHeight="1" x14ac:dyDescent="0.35">
      <c r="A16" s="2" t="s">
        <v>21</v>
      </c>
    </row>
    <row r="17" spans="1:1" ht="36.75" customHeight="1" x14ac:dyDescent="0.35">
      <c r="A17" s="2" t="s">
        <v>22</v>
      </c>
    </row>
    <row r="18" spans="1:1" ht="36.75" customHeight="1" x14ac:dyDescent="0.35">
      <c r="A18" s="2" t="s">
        <v>23</v>
      </c>
    </row>
    <row r="19" spans="1:1" ht="63.75" customHeight="1" x14ac:dyDescent="0.35">
      <c r="A19" s="2" t="s">
        <v>24</v>
      </c>
    </row>
    <row r="20" spans="1:1" ht="33" customHeight="1" x14ac:dyDescent="0.35">
      <c r="A20" s="2" t="s">
        <v>25</v>
      </c>
    </row>
    <row r="21" spans="1:1" ht="18.75" customHeight="1" x14ac:dyDescent="0.35">
      <c r="A21" s="3" t="s">
        <v>26</v>
      </c>
    </row>
    <row r="22" spans="1:1" ht="32.25" customHeight="1" x14ac:dyDescent="0.35">
      <c r="A22" s="2" t="s">
        <v>27</v>
      </c>
    </row>
    <row r="23" spans="1:1" x14ac:dyDescent="0.35">
      <c r="A23" s="2" t="s">
        <v>28</v>
      </c>
    </row>
    <row r="24" spans="1:1" ht="36" customHeight="1" x14ac:dyDescent="0.35">
      <c r="A24" s="2" t="s">
        <v>29</v>
      </c>
    </row>
    <row r="25" spans="1:1" ht="51" customHeight="1" x14ac:dyDescent="0.35">
      <c r="A25" s="2" t="s">
        <v>30</v>
      </c>
    </row>
    <row r="26" spans="1:1" ht="34.5" customHeight="1" x14ac:dyDescent="0.35">
      <c r="A26" s="2" t="s">
        <v>31</v>
      </c>
    </row>
    <row r="27" spans="1:1" ht="36" customHeight="1" x14ac:dyDescent="0.35">
      <c r="A27" s="11" t="s">
        <v>32</v>
      </c>
    </row>
    <row r="28" spans="1:1" ht="20.25" customHeight="1" x14ac:dyDescent="0.35">
      <c r="A28" s="3" t="s">
        <v>33</v>
      </c>
    </row>
    <row r="29" spans="1:1" ht="50.25" customHeight="1" x14ac:dyDescent="0.35">
      <c r="A29" s="3" t="s">
        <v>34</v>
      </c>
    </row>
    <row r="30" spans="1:1" ht="51.75" customHeight="1" x14ac:dyDescent="0.35">
      <c r="A30" s="3" t="s">
        <v>35</v>
      </c>
    </row>
    <row r="31" spans="1:1" ht="84.75" customHeight="1" x14ac:dyDescent="0.35">
      <c r="A31" s="3" t="s">
        <v>36</v>
      </c>
    </row>
    <row r="32" spans="1:1" ht="79.5" customHeight="1" x14ac:dyDescent="0.35">
      <c r="A32" s="3" t="s">
        <v>37</v>
      </c>
    </row>
    <row r="33" spans="1:2" ht="36" customHeight="1" x14ac:dyDescent="0.35">
      <c r="A33" s="3" t="s">
        <v>38</v>
      </c>
    </row>
    <row r="34" spans="1:2" ht="66.75" customHeight="1" x14ac:dyDescent="0.35">
      <c r="A34" s="3" t="s">
        <v>39</v>
      </c>
    </row>
    <row r="35" spans="1:2" ht="35.25" customHeight="1" x14ac:dyDescent="0.35">
      <c r="A35" s="11" t="s">
        <v>40</v>
      </c>
    </row>
    <row r="36" spans="1:2" ht="79.5" customHeight="1" x14ac:dyDescent="0.35">
      <c r="A36" s="3" t="s">
        <v>41</v>
      </c>
    </row>
    <row r="37" spans="1:2" ht="66.75" customHeight="1" x14ac:dyDescent="0.35">
      <c r="A37" s="3" t="s">
        <v>42</v>
      </c>
    </row>
    <row r="38" spans="1:2" ht="18" customHeight="1" x14ac:dyDescent="0.35">
      <c r="A38" s="3" t="s">
        <v>43</v>
      </c>
    </row>
    <row r="39" spans="1:2" ht="33.75" customHeight="1" x14ac:dyDescent="0.35">
      <c r="A39" s="11" t="s">
        <v>44</v>
      </c>
    </row>
    <row r="40" spans="1:2" x14ac:dyDescent="0.35">
      <c r="A40" s="58" t="s">
        <v>45</v>
      </c>
      <c r="B40" s="89" t="s">
        <v>46</v>
      </c>
    </row>
    <row r="41" spans="1:2" ht="31.5" customHeight="1" x14ac:dyDescent="0.35">
      <c r="A41" s="32" t="s">
        <v>47</v>
      </c>
      <c r="B41" s="90" t="s">
        <v>48</v>
      </c>
    </row>
    <row r="42" spans="1:2" ht="19.5" customHeight="1" x14ac:dyDescent="0.35">
      <c r="A42" s="32" t="s">
        <v>49</v>
      </c>
      <c r="B42" s="90" t="s">
        <v>50</v>
      </c>
    </row>
    <row r="43" spans="1:2" ht="35.25" customHeight="1" x14ac:dyDescent="0.35">
      <c r="A43" s="32" t="s">
        <v>51</v>
      </c>
      <c r="B43" s="90" t="s">
        <v>52</v>
      </c>
    </row>
    <row r="44" spans="1:2" ht="32.25" customHeight="1" x14ac:dyDescent="0.35">
      <c r="A44" s="51" t="s">
        <v>53</v>
      </c>
      <c r="B44" s="91" t="s">
        <v>54</v>
      </c>
    </row>
    <row r="45" spans="1:2" ht="28.5" customHeight="1" x14ac:dyDescent="0.35">
      <c r="A45" s="70" t="s">
        <v>55</v>
      </c>
      <c r="B45" s="69"/>
    </row>
    <row r="46" spans="1:2" ht="51.75" customHeight="1" x14ac:dyDescent="0.35">
      <c r="A46" s="3" t="s">
        <v>56</v>
      </c>
    </row>
    <row r="47" spans="1:2" ht="68.25" customHeight="1" x14ac:dyDescent="0.35">
      <c r="A47" s="3" t="s">
        <v>57</v>
      </c>
    </row>
    <row r="48" spans="1:2" ht="22.5" customHeight="1" x14ac:dyDescent="0.35">
      <c r="A48" s="3" t="s">
        <v>43</v>
      </c>
    </row>
    <row r="49" spans="1:1" ht="39.75" customHeight="1" x14ac:dyDescent="0.35">
      <c r="A49" s="11" t="s">
        <v>58</v>
      </c>
    </row>
    <row r="50" spans="1:1" ht="36.75" customHeight="1" x14ac:dyDescent="0.35">
      <c r="A50" s="2" t="s">
        <v>59</v>
      </c>
    </row>
    <row r="51" spans="1:1" ht="152.25" customHeight="1" x14ac:dyDescent="0.35">
      <c r="A51" s="2" t="s">
        <v>60</v>
      </c>
    </row>
    <row r="52" spans="1:1" ht="39.75" customHeight="1" x14ac:dyDescent="0.35">
      <c r="A52" s="11" t="s">
        <v>61</v>
      </c>
    </row>
    <row r="53" spans="1:1" ht="35.25" customHeight="1" x14ac:dyDescent="0.35">
      <c r="A53" s="3" t="s">
        <v>62</v>
      </c>
    </row>
    <row r="54" spans="1:1" ht="23.25" customHeight="1" x14ac:dyDescent="0.35">
      <c r="A54" s="3" t="s">
        <v>63</v>
      </c>
    </row>
    <row r="55" spans="1:1" ht="39" customHeight="1" x14ac:dyDescent="0.35">
      <c r="A55" s="3" t="s">
        <v>64</v>
      </c>
    </row>
    <row r="66" spans="1:1" x14ac:dyDescent="0.35">
      <c r="A66" s="35"/>
    </row>
  </sheetData>
  <sheetProtection algorithmName="SHA-512" hashValue="gfW54VKx+w7vhFhnXOiXKNfnKg6xheD862A8N+59gwDH2u0TgUjBlxF/yFKz71oepWT24nd+WCOymvuMoRAQvA==" saltValue="Z141HOK/yzxzy2MZ3OE9Cw=="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D29"/>
  <sheetViews>
    <sheetView zoomScaleNormal="100" workbookViewId="0"/>
  </sheetViews>
  <sheetFormatPr defaultColWidth="8.81640625" defaultRowHeight="15.5" x14ac:dyDescent="0.35"/>
  <cols>
    <col min="1" max="1" width="115.1796875" style="79" customWidth="1"/>
    <col min="2" max="2" width="54.7265625" style="79" customWidth="1"/>
    <col min="3" max="3" width="34.26953125" style="79" customWidth="1"/>
    <col min="4" max="6" width="30.54296875" style="79" customWidth="1"/>
    <col min="7" max="360" width="8.54296875" style="79" customWidth="1"/>
    <col min="361" max="16384" width="8.81640625" style="79"/>
  </cols>
  <sheetData>
    <row r="1" spans="1:4" ht="50.25" customHeight="1" x14ac:dyDescent="0.35">
      <c r="A1" s="37" t="s">
        <v>11</v>
      </c>
    </row>
    <row r="2" spans="1:4" ht="409.5" customHeight="1" x14ac:dyDescent="0.35">
      <c r="A2" s="29" t="s">
        <v>65</v>
      </c>
    </row>
    <row r="3" spans="1:4" ht="37.5" customHeight="1" x14ac:dyDescent="0.35">
      <c r="A3" s="86" t="s">
        <v>66</v>
      </c>
      <c r="B3" s="19"/>
      <c r="C3" s="2"/>
    </row>
    <row r="4" spans="1:4" ht="18.75" customHeight="1" x14ac:dyDescent="0.35">
      <c r="A4" s="58" t="s">
        <v>67</v>
      </c>
      <c r="B4" s="53" t="s">
        <v>68</v>
      </c>
      <c r="C4" s="53" t="s">
        <v>69</v>
      </c>
    </row>
    <row r="5" spans="1:4" ht="18.75" customHeight="1" x14ac:dyDescent="0.35">
      <c r="A5" s="9" t="s">
        <v>70</v>
      </c>
      <c r="B5" s="38"/>
      <c r="C5" s="80"/>
    </row>
    <row r="6" spans="1:4" ht="18.75" customHeight="1" x14ac:dyDescent="0.35">
      <c r="A6" s="9" t="s">
        <v>71</v>
      </c>
      <c r="B6" s="16">
        <v>2.4</v>
      </c>
      <c r="C6" s="80"/>
    </row>
    <row r="7" spans="1:4" ht="18.75" customHeight="1" x14ac:dyDescent="0.35">
      <c r="A7" s="9" t="s">
        <v>72</v>
      </c>
      <c r="B7" s="39">
        <v>120</v>
      </c>
      <c r="C7" s="80"/>
    </row>
    <row r="8" spans="1:4" ht="18.75" customHeight="1" x14ac:dyDescent="0.35">
      <c r="A8" s="9" t="s">
        <v>73</v>
      </c>
      <c r="B8" s="39"/>
      <c r="C8" s="80"/>
    </row>
    <row r="9" spans="1:4" ht="18.75" customHeight="1" x14ac:dyDescent="0.35">
      <c r="A9" s="9" t="s">
        <v>74</v>
      </c>
      <c r="B9" s="39"/>
      <c r="C9" s="80"/>
    </row>
    <row r="10" spans="1:4" ht="18.75" customHeight="1" x14ac:dyDescent="0.35">
      <c r="A10" s="9" t="s">
        <v>75</v>
      </c>
      <c r="B10" s="39"/>
      <c r="C10" s="80"/>
    </row>
    <row r="11" spans="1:4" ht="18.75" customHeight="1" x14ac:dyDescent="0.35">
      <c r="A11" s="9" t="s">
        <v>76</v>
      </c>
      <c r="B11" s="40" t="str">
        <f>(IFERROR(IF(OR(B10="Package Treatment Plant user defined",B10="Septic Tank user defined"),"Please enter value in cell to the right:",IF(Nutrients_from_wastewater!B5&lt;DATE(2025,1,1),VLOOKUP(Nutrients_from_wastewater!B10,Value_look_up_tables!A5:J13,2,FALSE),IF(Nutrients_from_wastewater!B5&lt;DATE(2030,4,1),VLOOKUP(Nutrients_from_wastewater!B10,Value_look_up_tables!A5:J13,4,FALSE),VLOOKUP(Nutrients_from_wastewater!B10,Value_look_up_tables!A5:J12,8,FALSE)))),""))</f>
        <v/>
      </c>
      <c r="C11" s="81"/>
    </row>
    <row r="12" spans="1:4" ht="18.75" customHeight="1" x14ac:dyDescent="0.35">
      <c r="A12" s="9" t="s">
        <v>77</v>
      </c>
      <c r="B12" s="40" t="str">
        <f>IFERROR(IF(OR(B10="Package Treatment Plant user defined",B10="Septic Tank user defined"),"Please enter value in cell to the right:",IF(AND(B5&lt;DATE(2025,1,1),B9="Yes"),VLOOKUP(B10,Value_look_up_tables!$A$5:$J$12,6,FALSE),IF(AND(B5&lt;DATE(2025,1,1),OR(B9="No",B9="")),VLOOKUP(B10,Value_look_up_tables!$A$5:$J$12,3,FALSE),IF(AND(B5&lt;DATE(2030,4,1),B5&gt;=DATE(2025,1,1),B9="Yes"),VLOOKUP(B10,Value_look_up_tables!$A$5:$J$12,7,FALSE),IF(AND(B5&lt;DATE(2030,4,1),B5&gt;=DATE(2025,1,1),OR(B9="No",B9="")),IF(AND(B5&lt;DATE(2030,4,1),B9="Yes"),VLOOKUP(B10,Value_look_up_tables!$A$5:$J$12,6,FALSE),IF(AND(B5&lt;DATE(2030,4,1),OR(B9="No",B9="")),VLOOKUP(B10,Value_look_up_tables!$A$5:$J$12,5,FALSE),IF(AND(B5&gt;=DATE(2030,4,1),B9="Yes"),VLOOKUP(B10,Value_look_up_tables!$A$5:$J$12,10,FALSE),IF(AND(B5&gt;=DATE(2030,4,1),OR(B9="No",B9="")),VLOOKUP(B10,Value_look_up_tables!$A$5:$J$12,9,FALSE),"")))),IF(B9="Yes",VLOOKUP(B10,Value_look_up_tables!$A$5:$J$12,10,FALSE),VLOOKUP(B10,Value_look_up_tables!$A$5:$J$12,9,FALSE))))))),"")</f>
        <v/>
      </c>
      <c r="C12" s="81"/>
      <c r="D12" s="82"/>
    </row>
    <row r="13" spans="1:4" ht="18.75" customHeight="1" x14ac:dyDescent="0.35">
      <c r="A13" s="9" t="str">
        <f>IFERROR(IF(AND($B$5&lt;DATE(2025,1,1),(VLOOKUP($B$10,Value_look_up_tables!$A$5:$E$10,2,FALSE))&gt;(VLOOKUP($B$10,Value_look_up_tables!$A$5:$E$10,4,FALSE))), "Post 2025 WwTW P permit (mg TP/litre):",""),"")</f>
        <v/>
      </c>
      <c r="B13" s="40" t="str">
        <f>IFERROR(IF(AND($B$5&lt;DATE(2025,1,1),(VLOOKUP($B$10,Value_look_up_tables!$A$5:$E$10,2,FALSE))&gt;(VLOOKUP($B$10,Value_look_up_tables!$A$5:$E$10,4,FALSE))), VLOOKUP($B$10,Value_look_up_tables!A5:E13,4,FALSE),""),"")</f>
        <v/>
      </c>
      <c r="C13" s="80"/>
    </row>
    <row r="14" spans="1:4" ht="18.75" customHeight="1" x14ac:dyDescent="0.35">
      <c r="A14" s="9" t="str">
        <f>IFERROR(IF(AND($B$5&lt;DATE(2025,1,1),(VLOOKUP($B$10,Value_look_up_tables!$A$5:$E$10,3,FALSE))&gt;(VLOOKUP($B$10,Value_look_up_tables!$A$5:$E$10,5,FALSE))), "Post 2025 WwTW N permit (mg TN/litre):",""),"")</f>
        <v/>
      </c>
      <c r="B14" s="40" t="str">
        <f>IFERROR(IF(AND($B$5&lt;DATE(2025,1,1),(VLOOKUP($B$10,Value_look_up_tables!$A$5:$J$10,3,FALSE))&gt;(VLOOKUP($B$10,Value_look_up_tables!$A$5:$J$10,5,FALSE))), IF(B9="Yes",VLOOKUP(B10,Value_look_up_tables!$A$5:$J$13,7,FALSE),VLOOKUP(B10,Value_look_up_tables!$A$5:$J$13,5,FALSE)),""),"")</f>
        <v/>
      </c>
      <c r="C14" s="80"/>
    </row>
    <row r="15" spans="1:4" ht="18.75" customHeight="1" x14ac:dyDescent="0.35">
      <c r="A15" s="9" t="str">
        <f>IFERROR(IF(AND($B$5&lt;DATE(2030,4,1),(VLOOKUP($B$10,Value_look_up_tables!$A$5:$J$10,4,FALSE))&gt;(VLOOKUP($B$10,Value_look_up_tables!$A$5:$J$10,8,FALSE))), "Post 2030 WwTW P permit (mg TP/litre):",""),"")</f>
        <v/>
      </c>
      <c r="B15" s="40" t="str">
        <f>IFERROR(IF(AND($B$5&lt;DATE(2030,4,1),(VLOOKUP($B$10,Value_look_up_tables!$A$5:$J$10,4,FALSE))&gt;(VLOOKUP($B$10,Value_look_up_tables!$A$5:$J$10,8,FALSE))), VLOOKUP($B$10,Value_look_up_tables!A5:J13,8,FALSE),""),"")</f>
        <v/>
      </c>
      <c r="C15" s="80"/>
    </row>
    <row r="16" spans="1:4" ht="18.75" customHeight="1" x14ac:dyDescent="0.35">
      <c r="A16" s="6" t="str">
        <f>IFERROR(IF(AND($B$5&lt;DATE(2030,4,1),(VLOOKUP($B$10,Value_look_up_tables!$A$5:$J$10,5,FALSE))&gt;(VLOOKUP($B$10,Value_look_up_tables!$A$5:$J$10,9,FALSE))), "Post 2030 WwTW N permit (mg TN/litre):",""),"")</f>
        <v/>
      </c>
      <c r="B16" s="17" t="str">
        <f>IFERROR(IF(AND($B$5&lt;DATE(2030,4,1),(VLOOKUP($B$10,Value_look_up_tables!$A$5:$J$10,5,FALSE))&gt;(VLOOKUP($B$10,Value_look_up_tables!$A$5:$J$10,9,FALSE))), IF(B9="Yes",VLOOKUP(B10,Value_look_up_tables!$A$5:$J$13,10,FALSE),VLOOKUP(B10,Value_look_up_tables!$A$5:$J$13,9,FALSE)),""),"")</f>
        <v/>
      </c>
      <c r="C16" s="83"/>
    </row>
    <row r="17" spans="1:3" ht="38.25" customHeight="1" x14ac:dyDescent="0.35">
      <c r="A17" s="78" t="s">
        <v>78</v>
      </c>
      <c r="B17" s="41"/>
    </row>
    <row r="18" spans="1:3" ht="21" customHeight="1" x14ac:dyDescent="0.35">
      <c r="A18" s="52" t="s">
        <v>79</v>
      </c>
      <c r="B18" s="53" t="s">
        <v>80</v>
      </c>
      <c r="C18" s="84"/>
    </row>
    <row r="19" spans="1:3" ht="18.75" customHeight="1" x14ac:dyDescent="0.35">
      <c r="A19" s="72" t="str">
        <f>IFERROR(IF(AND($B$5&lt;DATE(2030,4,1),OR((VLOOKUP($B$10,Value_look_up_tables!$A$5:$J$10,4,FALSE))&gt;(VLOOKUP($B$10,Value_look_up_tables!$A$5:$J$10,8,FALSE)),(VLOOKUP($B$10,Value_look_up_tables!$A$5:$J$10,5,FALSE))&gt;(VLOOKUP($B$10,Value_look_up_tables!$A$5:$J$10,9,FALSE)))),"Post-2030 Stage 1 Nutrient Loading",IF(AND($B$5&lt;DATE(2025,1,1),OR((VLOOKUP($B$10,Value_look_up_tables!$A$5:$E$10,2,FALSE))&gt;(VLOOKUP($B$10,Value_look_up_tables!$A$5:$E$10,4,FALSE)),(VLOOKUP($B$10,Value_look_up_tables!$A$5:$E$10,3,FALSE))&gt;(VLOOKUP($B$10,Value_look_up_tables!$A$5:$E$10,5,FALSE)))),"Post-2025 Stage 1 Nutrient Loading","Stage 1 Nutrient Loading")),"")</f>
        <v/>
      </c>
      <c r="B19" s="85"/>
    </row>
    <row r="20" spans="1:3" ht="18.75" customHeight="1" x14ac:dyDescent="0.35">
      <c r="A20" s="7" t="s">
        <v>81</v>
      </c>
      <c r="B20" s="42" t="str">
        <f>IF(ISBLANK(B8),"",B6*B8)</f>
        <v/>
      </c>
    </row>
    <row r="21" spans="1:3" ht="18.75" customHeight="1" x14ac:dyDescent="0.35">
      <c r="A21" s="8" t="s">
        <v>82</v>
      </c>
      <c r="B21" s="17" t="str">
        <f>IFERROR(B20*B7,"")</f>
        <v/>
      </c>
    </row>
    <row r="22" spans="1:3" ht="18.75" customHeight="1" x14ac:dyDescent="0.35">
      <c r="A22" s="8" t="s">
        <v>83</v>
      </c>
      <c r="B22" s="17" t="str">
        <f>IFERROR(ROUND(IF(ISNUMBER(B15),B15*B21*0.9/1000000*365.25,IF(ISNUMBER(B13),B13*B21*0.9/1000000*365.25,IF(B11="Please enter value in cell to the right:",IF(AND(B11="Please enter value in cell to the right:",ISNUMBER(C11)),B21*C11/1000000*365.25, VLOOKUP((LEFT(B10,(LEN(B10)-13))&amp;" default"),Value_look_up_tables!$A$9:$C$10,2,FALSE)*B21/1000000*365.25),IF(OR(B10="Package Treatment Plant default",B10="Septic Tank default"),B11*B21/1000000*365.25,IF(B11=8,B11*B21/1000000*365.25,B11*B21*0.9/1000000*365.25))))),2),"")</f>
        <v/>
      </c>
    </row>
    <row r="23" spans="1:3" ht="18.75" customHeight="1" x14ac:dyDescent="0.35">
      <c r="A23" s="8" t="s">
        <v>84</v>
      </c>
      <c r="B23" s="17" t="str">
        <f>IFERROR(ROUND(IF(ISNUMBER(B16),B16*B21*0.9/1000000*365.25,IF(ISNUMBER(B14),B14*B21*0.9/1000000*365.25,IF(B12="Please enter value in cell to the right:",IF(AND(B12="Please enter value in cell to the right:",ISNUMBER(C12)),B21*(IF(C12-2&lt;0,C12,C12-2))/1000000*365.25, VLOOKUP((LEFT(B10,(LEN(B10)-13))&amp;" default"),Value_look_up_tables!$A$9:$C$10,3,FALSE)*B21/1000000*365.25),IF(OR(B10="Package Treatment Plant default",B10="Septic Tank default"),B12*B21/1000000*365.25,IF(OR(B12=25,B12=27),B12*B21/1000000*365.25,B12*B21*0.9/1000000*365.25))))),2),"")</f>
        <v/>
      </c>
    </row>
    <row r="24" spans="1:3" ht="18.75" customHeight="1" x14ac:dyDescent="0.35">
      <c r="A24" s="73" t="str">
        <f>IFERROR(IF(AND($B$5&lt;DATE(2030,4,1),OR((VLOOKUP($B$10,Value_look_up_tables!$A$5:$J$10,4,FALSE))&gt;(VLOOKUP($B$10,Value_look_up_tables!$A$5:$J$10,8,FALSE)),(VLOOKUP($B$10,Value_look_up_tables!$A$5:$J$10,5,FALSE))&gt;(VLOOKUP($B$10,Value_look_up_tables!$A$5:$J$10,9,FALSE)))),"Pre-2030 Stage 1 Nutrient Loading",IF(AND($B$5&lt;DATE(2025,1,1),OR((VLOOKUP($B$10,Value_look_up_tables!$A$5:$E$10,2,FALSE))&gt;(VLOOKUP($B$10,Value_look_up_tables!$A$5:$E$10,4,FALSE)),(VLOOKUP($B$10,Value_look_up_tables!$A$5:$E$10,3,FALSE))&gt;(VLOOKUP($B$10,Value_look_up_tables!$A$5:$E$10,5,FALSE)))),"Pre-2025 Stage 1 Nutrient Loading","")),"")</f>
        <v/>
      </c>
      <c r="B24" s="74"/>
    </row>
    <row r="25" spans="1:3" ht="18.75" customHeight="1" x14ac:dyDescent="0.35">
      <c r="A25" s="7" t="str">
        <f>IFERROR(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Annual wastewater TP load (kg TP/yr):",""),"")</f>
        <v/>
      </c>
      <c r="B25" s="44" t="str">
        <f>IFERROR(ROUND(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IF(ISNUMBER(B13),IF(B13=8,(B13*B$21)/1000000*365.25,(B13*B$21*0.9)/1000000*365.25),IF(B11=8,(B11*B$21)/1000000*365.25,(B11*B$21*0.9)/1000000*365.25)),""),2),"")</f>
        <v/>
      </c>
    </row>
    <row r="26" spans="1:3" ht="18.75" customHeight="1" x14ac:dyDescent="0.35">
      <c r="A26" s="7" t="str">
        <f>IFERROR(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Annual wastewater TN load (kg TN/yr):",""),"")</f>
        <v/>
      </c>
      <c r="B26" s="44" t="str">
        <f>IFERROR(ROUND(IF(AND($B$5&lt;DATE(2030,4,1),OR((VLOOKUP($B$10,Value_look_up_tables!$A$5:$J$10,4,FALSE))&gt;(VLOOKUP($B$10,Value_look_up_tables!$A$5:$J$10,8,FALSE)),(VLOOKUP($B$10,Value_look_up_tables!$A$5:$J$10,5,FALSE))&gt;(VLOOKUP($B$10,Value_look_up_tables!$A$5:$J$10,9,FALSE)),(VLOOKUP($B$10,Value_look_up_tables!$A$5:$J$10,2,FALSE))&gt;(VLOOKUP($B$10,Value_look_up_tables!$A$5:$J$10,8,FALSE)),(VLOOKUP($B$10,Value_look_up_tables!$A$5:$J$10,3,FALSE))&gt;(VLOOKUP($B$10,Value_look_up_tables!$A$5:$J$10,9,FALSE)))),IF(ISNUMBER(B14),IF(OR(B14=27,B14=25),(B14*B$21)/1000000*365.25,(B14*B$21*0.9)/1000000*365.25),IF(OR(B12=27,B12=25),(B12*B$21)/1000000*365.25,(B12*B$21*0.9)/1000000*365.25)),""),2),"")</f>
        <v/>
      </c>
    </row>
    <row r="27" spans="1:3" ht="18.75" customHeight="1" x14ac:dyDescent="0.35">
      <c r="A27" s="73" t="str">
        <f>IFERROR(IF(AND($B$5&lt;DATE(2025,1,1),$B$5&lt;DATE(2030,4,1),OR((VLOOKUP($B$10,Value_look_up_tables!$A$5:$J$10,4,FALSE))&gt;(VLOOKUP($B$10,Value_look_up_tables!$A$5:$J$10,8,FALSE)),(VLOOKUP($B$10,Value_look_up_tables!$A$5:$J$10,5,FALSE))&gt;(VLOOKUP($B$10,Value_look_up_tables!$A$5:$J$10,9,FALSE)))),IF(AND(B28="",B29=""),"","Pre-2025 Stage 1 Nutrient Loading"),IF(AND($B$5&lt;DATE(2025,1,1),OR((VLOOKUP($B$10,Value_look_up_tables!$A$5:$E$10,2,FALSE))&gt;(VLOOKUP($B$10,Value_look_up_tables!$A$5:$E$10,4,FALSE)),(VLOOKUP($B$10,Value_look_up_tables!$A$5:$E$10,3,FALSE))&gt;(VLOOKUP($B$10,Value_look_up_tables!$A$5:$E$10,5,FALSE)))),"Stage 1 Nutrient Loading","")),"")</f>
        <v/>
      </c>
      <c r="B27" s="74"/>
    </row>
    <row r="28" spans="1:3" ht="18.75" customHeight="1" x14ac:dyDescent="0.35">
      <c r="A28" s="7" t="str">
        <f>IFERROR(IF(AND($B$5&lt;DATE(2025,1,1),OR((VLOOKUP($B$10,Value_look_up_tables!$A$5:$E$10,2,FALSE))&gt;(VLOOKUP($B$10,Value_look_up_tables!$A$5:$E$10,4,FALSE)),(VLOOKUP($B$10,Value_look_up_tables!$A$5:$E$10,3,FALSE))&gt;(VLOOKUP($B$10,Value_look_up_tables!$A$5:$E$10,5,FALSE)))),"Annual wastewater TP load (kg TP/yr):",""),"")</f>
        <v/>
      </c>
      <c r="B28" s="43" t="str">
        <f>IFERROR(ROUND(IF(AND($B$5&lt;DATE(2025,1,1),$B$5&lt;DATE(2030,4,1),OR((VLOOKUP($B$10,Value_look_up_tables!$A$5:$J$10,4,FALSE))&gt;(VLOOKUP($B$10,Value_look_up_tables!$A$5:$J$10,8,FALSE)),(VLOOKUP($B$10,Value_look_up_tables!$A$5:$J$10,5,FALSE))&gt;(VLOOKUP($B$10,Value_look_up_tables!$A$5:$J$10,9,FALSE)),(VLOOKUP($B$10,Value_look_up_tables!$A$5:$J$10,2,FALSE))&gt;(VLOOKUP($B$10,Value_look_up_tables!$A$5:$J$10,4,FALSE)),(VLOOKUP($B$10,Value_look_up_tables!$A$5:$J$10,3,FALSE))&gt;(VLOOKUP($B$10,Value_look_up_tables!$A$5:$J$10,5,FALSE)))),IF(ISNUMBER(B13),IF(B11=8,(B11*B$21)/1000000*365.25,(B11*B$21*0.9)/1000000*365.25),IF(B13=8,(B13*B$21)/1000000*365.25,(B13*B$21*0.9)/1000000*365.25)),""),2),IF(ISNUMBER(B14),B26,""))</f>
        <v/>
      </c>
    </row>
    <row r="29" spans="1:3" ht="18.75" customHeight="1" x14ac:dyDescent="0.35">
      <c r="A29" s="7" t="str">
        <f>IFERROR(IF(AND($B$5&lt;DATE(2025,1,1),OR((VLOOKUP($B$10,Value_look_up_tables!$A$5:$E$10,2,FALSE))&gt;(VLOOKUP($B$10,Value_look_up_tables!$A$5:$E$10,4,FALSE)),(VLOOKUP($B$10,Value_look_up_tables!$A$5:$E$10,3,FALSE))&gt;(VLOOKUP($B$10,Value_look_up_tables!$A$5:$E$10,5,FALSE)))),"Annual wastewater TN load (kg TN/yr):",""),"")</f>
        <v/>
      </c>
      <c r="B29" s="43" t="str">
        <f>IFERROR(ROUND(IF(AND($B$5&lt;DATE(2025,1,1),$B$5&lt;DATE(2030,4,1),OR((VLOOKUP($B$10,Value_look_up_tables!$A$5:$J$10,4,FALSE))&gt;(VLOOKUP($B$10,Value_look_up_tables!$A$5:$J$10,8,FALSE)),(VLOOKUP($B$10,Value_look_up_tables!$A$5:$J$10,5,FALSE))&gt;(VLOOKUP($B$10,Value_look_up_tables!$A$5:$J$10,9,FALSE)),(VLOOKUP($B$10,Value_look_up_tables!$A$5:$J$10,2,FALSE))&gt;(VLOOKUP($B$10,Value_look_up_tables!$A$5:$J$10,4,FALSE)),(VLOOKUP($B$10,Value_look_up_tables!$A$5:$J$10,3,FALSE))&gt;(VLOOKUP($B$10,Value_look_up_tables!$A$5:$J$10,5,FALSE)))),IF(ISNUMBER(B14),IF(OR(B12=27,B12=25),(B12*B$21)/1000000*365.25,(B12*B$21*0.9)/1000000*365.25),IF(OR(B14=27,B14=25),(B14*B$21)/1000000*365.25,(B14*B$21*0.9)/1000000*365.25)),""),2),IF(ISNUMBER(B13),B26,""))</f>
        <v/>
      </c>
    </row>
  </sheetData>
  <sheetProtection algorithmName="SHA-512" hashValue="ijyHFepevFNcqqasIgIH+kiAAXvMw1khRncy15IGryhmZFA1bktiAAeL2jNzoAJxcyGmy/nwjVMOCA7uc+bonQ==" saltValue="3sMYclbCeMmsVgtbefboow==" spinCount="100000" sheet="1" objects="1" scenarios="1"/>
  <protectedRanges>
    <protectedRange algorithmName="SHA-512" hashValue="9eFLYwbQxhpezS4HULhG7iBaGmH5LoseTU2XnhelcWF+/l82pYUC3srt3byn/vuneXy5XFyZVPQbagh6SLqRzQ==" saltValue="CEix3VmL8kRrd4op8qAhjg==" spinCount="100000" sqref="B5:B10" name="Range1_11"/>
  </protectedRanges>
  <phoneticPr fontId="3" type="noConversion"/>
  <conditionalFormatting sqref="C11">
    <cfRule type="expression" dxfId="2" priority="2">
      <formula>$B$11="Please enter value in cell to the right:"</formula>
    </cfRule>
  </conditionalFormatting>
  <conditionalFormatting sqref="C12">
    <cfRule type="expression" dxfId="1" priority="1">
      <formula>$B$12="Please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1:C12"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2">
        <x14:dataValidation type="list" allowBlank="1" showErrorMessage="1" prompt="Please select a Wastewater Treatment Works from the drop-down list." xr:uid="{9AFCCA9C-D04E-49D5-AC45-6EDFCCBE3936}">
          <x14:formula1>
            <xm:f>Value_look_up_tables!$A$5:$A$12</xm:f>
          </x14:formula1>
          <xm:sqref>B10</xm:sqref>
        </x14:dataValidation>
        <x14:dataValidation type="list" operator="greaterThan" allowBlank="1" showErrorMessage="1" errorTitle="Development proposal" error="Please ensure that the total number of dwellings is entered as a whole number" prompt="Please edit if the catchment does not have a deductible acceptable loading. " xr:uid="{97F316E6-447A-4848-806D-BF22A6EF5FA6}">
          <x14:formula1>
            <xm:f>Value_look_up_tables!$A$140:$A$141</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796875" defaultRowHeight="15.5" x14ac:dyDescent="0.35"/>
  <cols>
    <col min="1" max="1" width="93.26953125" style="2" customWidth="1"/>
    <col min="2" max="2" width="40.54296875" style="2" customWidth="1"/>
    <col min="3" max="3" width="24.7265625" style="2" customWidth="1"/>
    <col min="4" max="4" width="21.26953125" style="2" customWidth="1"/>
    <col min="5" max="5" width="76.7265625" style="2" customWidth="1"/>
    <col min="6" max="387" width="8.54296875" style="2" customWidth="1"/>
    <col min="388" max="16384" width="9.1796875" style="2"/>
  </cols>
  <sheetData>
    <row r="1" spans="1:7" ht="38.25" customHeight="1" x14ac:dyDescent="0.35">
      <c r="A1" s="14" t="s">
        <v>13</v>
      </c>
      <c r="B1" s="19"/>
      <c r="C1" s="19"/>
      <c r="D1" s="19"/>
      <c r="E1" s="19"/>
    </row>
    <row r="2" spans="1:7" ht="396" customHeight="1" x14ac:dyDescent="0.35">
      <c r="A2" s="29" t="s">
        <v>85</v>
      </c>
      <c r="B2" s="19"/>
      <c r="C2" s="19"/>
      <c r="D2" s="19"/>
      <c r="E2" s="19"/>
      <c r="F2" s="19"/>
    </row>
    <row r="3" spans="1:7" ht="55.5" customHeight="1" x14ac:dyDescent="0.35">
      <c r="A3" s="20" t="s">
        <v>86</v>
      </c>
      <c r="B3" s="19"/>
      <c r="C3" s="19"/>
      <c r="D3" s="19"/>
    </row>
    <row r="4" spans="1:7" x14ac:dyDescent="0.35">
      <c r="A4" s="56" t="s">
        <v>67</v>
      </c>
      <c r="B4" s="57" t="s">
        <v>87</v>
      </c>
      <c r="C4" s="19"/>
      <c r="D4" s="19"/>
    </row>
    <row r="5" spans="1:7" ht="23.25" customHeight="1" x14ac:dyDescent="0.35">
      <c r="A5" s="9" t="s">
        <v>88</v>
      </c>
      <c r="B5" s="23"/>
      <c r="C5" s="21"/>
      <c r="G5" s="87"/>
    </row>
    <row r="6" spans="1:7" ht="23.25" customHeight="1" x14ac:dyDescent="0.35">
      <c r="A6" s="9" t="s">
        <v>89</v>
      </c>
      <c r="B6" s="24"/>
      <c r="C6" s="21"/>
    </row>
    <row r="7" spans="1:7" ht="23.25" customHeight="1" x14ac:dyDescent="0.35">
      <c r="A7" s="9" t="s">
        <v>90</v>
      </c>
      <c r="B7" s="25"/>
      <c r="C7" s="21"/>
    </row>
    <row r="8" spans="1:7" ht="23.25" customHeight="1" x14ac:dyDescent="0.35">
      <c r="A8" s="6" t="s">
        <v>91</v>
      </c>
      <c r="B8" s="26"/>
      <c r="C8" s="21"/>
    </row>
    <row r="9" spans="1:7" ht="70" customHeight="1" x14ac:dyDescent="0.35">
      <c r="A9" s="88" t="s">
        <v>92</v>
      </c>
      <c r="B9" s="77"/>
      <c r="C9" s="21"/>
    </row>
    <row r="10" spans="1:7" ht="54.75" customHeight="1" x14ac:dyDescent="0.35">
      <c r="A10" s="27" t="s">
        <v>93</v>
      </c>
      <c r="B10" s="28" t="s">
        <v>94</v>
      </c>
      <c r="C10" s="28" t="s">
        <v>95</v>
      </c>
      <c r="D10" s="28" t="s">
        <v>96</v>
      </c>
      <c r="E10" s="28" t="s">
        <v>97</v>
      </c>
      <c r="G10" s="87"/>
    </row>
    <row r="11" spans="1:7" ht="37.5" customHeight="1" x14ac:dyDescent="0.35">
      <c r="A11" s="4"/>
      <c r="B11" s="16"/>
      <c r="C11" s="75"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B$8,Value_look_up_tables!$A$140:$B$141,2,FALSE)&amp;"|"&amp;VLOOKUP(Nutrients_from_current_land_use!$B$7,Value_look_up_tables!$A$101:$C$123,3,FALSE)&amp;"|"&amp;VLOOKUP($B$6,Value_look_up_tables!$A$131:$B$136,2,FALSE)))),Value_look_up_tables!$F$16:$H$97,2,FALSE),
IFERROR(IFERROR($B11*VLOOKUP($A11&amp;"|"&amp;VLOOKUP(Nutrients_from_current_land_use!$B$8,Value_look_up_tables!$A$140:$B$141,2,FALSE)&amp;"|"&amp;VLOOKUP(Nutrients_from_current_land_use!$B$7,Value_look_up_tables!$A$101:$C$123,3,FALSE)&amp;"|"&amp;VLOOKUP($B$6,Value_look_up_tables!$A$131:$B$136,2,FALSE),Value_look_up_tables!$F$16:$H$97,2,FALSE),IFERROR($B11*VLOOKUP($A11&amp;"|"&amp;"TRUE"&amp;"|"&amp;VLOOKUP(Nutrients_from_current_land_use!$B$7,Value_look_up_tables!$A$101:$C$123,3,FALSE)&amp;"|"&amp;VLOOKUP($B$6,Value_look_up_tables!$A$131:$B$136,2,FALSE),Value_look_up_tables!$F$16:$H$97,2,FALSE),$B11*VLOOKUP($A11&amp;"|"&amp;VLOOKUP(Nutrients_from_current_land_use!$B$8,Value_look_up_tables!$A$140:$B$141,2,FALSE)&amp;"|"&amp;VLOOKUP(Nutrients_from_current_land_use!$B$7,Value_look_up_tables!$A$101:$C$123,3,FALSE)&amp;"|"&amp;"DrainedArGr",Value_look_up_tables!$F$16:$H$97,2,FALSE))),IFERROR($B11*VLOOKUP($A11&amp;"|"&amp;VLOOKUP(Nutrients_from_current_land_use!$B$7,Value_look_up_tables!$A$101:$C$123,3,FALSE),Value_look_up_tables!$I$16:$K$89,2,FALSE),$B11*VLOOKUP($A11,Value_look_up_tables!$B$16:$M$89,11,FALSE)))))</f>
        <v/>
      </c>
      <c r="D11" s="75"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B$8,Value_look_up_tables!$A$140:$B$141,2,FALSE)&amp;"|"&amp;VLOOKUP(Nutrients_from_current_land_use!$B$7,Value_look_up_tables!$A$101:$C$123,3,FALSE)&amp;"|"&amp;VLOOKUP($B$6,Value_look_up_tables!$A$131:$B$136,2,FALSE)))),Value_look_up_tables!$F$16:$H$97,3,FALSE),
IFERROR(IFERROR($B11*VLOOKUP($A11&amp;"|"&amp;VLOOKUP(Nutrients_from_current_land_use!$B$8,Value_look_up_tables!$A$140:$B$141,2,FALSE)&amp;"|"&amp;VLOOKUP(Nutrients_from_current_land_use!$B$7,Value_look_up_tables!$A$101:$C$123,3,FALSE)&amp;"|"&amp;VLOOKUP($B$6,Value_look_up_tables!$A$131:$B$136,2,FALSE),Value_look_up_tables!$F$16:$H$97,3,FALSE),IFERROR($B11*VLOOKUP($A11&amp;"|"&amp;"TRUE"&amp;"|"&amp;VLOOKUP(Nutrients_from_current_land_use!$B$7,Value_look_up_tables!$A$101:$C$123,3,FALSE)&amp;"|"&amp;VLOOKUP($B$6,Value_look_up_tables!$A$131:$B$136,2,FALSE),Value_look_up_tables!$F$16:$H$97,3,FALSE),$B11*VLOOKUP($A11&amp;"|"&amp;VLOOKUP(Nutrients_from_current_land_use!$B$8,Value_look_up_tables!$A$140:$B$141,2,FALSE)&amp;"|"&amp;VLOOKUP(Nutrients_from_current_land_use!$B$7,Value_look_up_tables!$A$101:$C$123,3,FALSE)&amp;"|"&amp;"DrainedArGr",Value_look_up_tables!$F$16:$H$97,3,FALSE))),IFERROR($B11*VLOOKUP($A11&amp;"|"&amp;VLOOKUP(Nutrients_from_current_land_use!$B$7,Value_look_up_tables!$A$101:$C$123,3,FALSE),Value_look_up_tables!$I$16:$K$89,3,FALSE),$B11*VLOOKUP($A11,Value_look_up_tables!$B$16:$M$89,12,FALSE)))))</f>
        <v/>
      </c>
      <c r="E11" s="5" t="str">
        <f>IF(OR(ISBLANK($A11),ISBLANK($B11),ISBLANK($B$6),ISBLANK($B$5),ISBLANK($B$7),$A11="Residential urban land",$A11="Commercial/industrial urban land",$A11="Open urban land",$A11="Greenspace",$A11="Community food growing",$A11="Woodland",$A11="Shrub",$A11="Water"),"",IF(ISNUMBER(IFERROR($B11*VLOOKUP((IF(OR($A11="Residential urban land",$A11="Commercial/industrial urban land",$A11="Open urban land",$A11="Greenspace",$A11="Community food growing",$A11="Woodland",$A11="Shrub",$A11="Water"),"|||"&amp;$A11,(VLOOKUP(Nutrients_from_current_land_use!$B$5,Value_look_up_tables!$A$127:$B$127,2,FALSE)&amp;"|"&amp;$A11&amp;"|"&amp;VLOOKUP(Nutrients_from_current_land_use!$B$8,Value_look_up_tables!$A$140:$B$141,2,FALSE)&amp;"|"&amp;VLOOKUP(Nutrients_from_current_land_use!$B$7, Value_look_up_tables!$A$101:$C$123,3,FALSE)&amp;"|"&amp;VLOOKUP($B$6,Value_look_up_tables!$A$131:$B$136,2,FALSE)))), Value_look_up_tables!$F$16:$H$89,3,FALSE),IFERROR($B11*VLOOKUP($A11&amp;"|"&amp;VLOOKUP(Nutrients_from_current_land_use!$B$8,Value_look_up_tables!$A$140:$B$141,2,FALSE)&amp;"|"&amp;VLOOKUP(Nutrients_from_current_land_use!$B$7,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2" spans="1:7" ht="37.5" customHeight="1" x14ac:dyDescent="0.35">
      <c r="A12" s="4"/>
      <c r="B12" s="16"/>
      <c r="C12" s="75"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B$8,Value_look_up_tables!$A$140:$B$141,2,FALSE)&amp;"|"&amp;VLOOKUP(Nutrients_from_current_land_use!$B$7,Value_look_up_tables!$A$101:$C$123,3,FALSE)&amp;"|"&amp;VLOOKUP($B$6,Value_look_up_tables!$A$131:$B$136,2,FALSE)))),Value_look_up_tables!$F$16:$H$97,2,FALSE),
IFERROR(IFERROR($B12*VLOOKUP($A12&amp;"|"&amp;VLOOKUP(Nutrients_from_current_land_use!$B$8,Value_look_up_tables!$A$140:$B$141,2,FALSE)&amp;"|"&amp;VLOOKUP(Nutrients_from_current_land_use!$B$7,Value_look_up_tables!$A$101:$C$123,3,FALSE)&amp;"|"&amp;VLOOKUP($B$6,Value_look_up_tables!$A$131:$B$136,2,FALSE),Value_look_up_tables!$F$16:$H$97,2,FALSE),IFERROR($B12*VLOOKUP($A12&amp;"|"&amp;"TRUE"&amp;"|"&amp;VLOOKUP(Nutrients_from_current_land_use!$B$7,Value_look_up_tables!$A$101:$C$123,3,FALSE)&amp;"|"&amp;VLOOKUP($B$6,Value_look_up_tables!$A$131:$B$136,2,FALSE),Value_look_up_tables!$F$16:$H$97,2,FALSE),$B12*VLOOKUP($A12&amp;"|"&amp;VLOOKUP(Nutrients_from_current_land_use!$B$8,Value_look_up_tables!$A$140:$B$141,2,FALSE)&amp;"|"&amp;VLOOKUP(Nutrients_from_current_land_use!$B$7,Value_look_up_tables!$A$101:$C$123,3,FALSE)&amp;"|"&amp;"DrainedArGr",Value_look_up_tables!$F$16:$H$97,2,FALSE))),IFERROR($B12*VLOOKUP($A12&amp;"|"&amp;VLOOKUP(Nutrients_from_current_land_use!$B$7,Value_look_up_tables!$A$101:$C$123,3,FALSE),Value_look_up_tables!$I$16:$K$89,2,FALSE),$B12*VLOOKUP($A12,Value_look_up_tables!$B$16:$M$89,11,FALSE)))))</f>
        <v/>
      </c>
      <c r="D12" s="75"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B$8,Value_look_up_tables!$A$140:$B$141,2,FALSE)&amp;"|"&amp;VLOOKUP(Nutrients_from_current_land_use!$B$7,Value_look_up_tables!$A$101:$C$123,3,FALSE)&amp;"|"&amp;VLOOKUP($B$6,Value_look_up_tables!$A$131:$B$136,2,FALSE)))),Value_look_up_tables!$F$16:$H$97,3,FALSE),
IFERROR(IFERROR($B12*VLOOKUP($A12&amp;"|"&amp;VLOOKUP(Nutrients_from_current_land_use!$B$8,Value_look_up_tables!$A$140:$B$141,2,FALSE)&amp;"|"&amp;VLOOKUP(Nutrients_from_current_land_use!$B$7,Value_look_up_tables!$A$101:$C$123,3,FALSE)&amp;"|"&amp;VLOOKUP($B$6,Value_look_up_tables!$A$131:$B$136,2,FALSE),Value_look_up_tables!$F$16:$H$97,3,FALSE),IFERROR($B12*VLOOKUP($A12&amp;"|"&amp;"TRUE"&amp;"|"&amp;VLOOKUP(Nutrients_from_current_land_use!$B$7,Value_look_up_tables!$A$101:$C$123,3,FALSE)&amp;"|"&amp;VLOOKUP($B$6,Value_look_up_tables!$A$131:$B$136,2,FALSE),Value_look_up_tables!$F$16:$H$97,3,FALSE),$B12*VLOOKUP($A12&amp;"|"&amp;VLOOKUP(Nutrients_from_current_land_use!$B$8,Value_look_up_tables!$A$140:$B$141,2,FALSE)&amp;"|"&amp;VLOOKUP(Nutrients_from_current_land_use!$B$7,Value_look_up_tables!$A$101:$C$123,3,FALSE)&amp;"|"&amp;"DrainedArGr",Value_look_up_tables!$F$16:$H$97,3,FALSE))),IFERROR($B12*VLOOKUP($A12&amp;"|"&amp;VLOOKUP(Nutrients_from_current_land_use!$B$7,Value_look_up_tables!$A$101:$C$123,3,FALSE),Value_look_up_tables!$I$16:$K$89,3,FALSE),$B12*VLOOKUP($A12,Value_look_up_tables!$B$16:$M$89,12,FALSE)))))</f>
        <v/>
      </c>
      <c r="E12" s="5" t="str">
        <f>IF(OR(ISBLANK($A12),ISBLANK($B12),ISBLANK($B$6),ISBLANK($B$5),ISBLANK($B$7),$A12="Residential urban land",$A12="Commercial/industrial urban land",$A12="Open urban land",$A12="Greenspace",$A12="Community food growing",$A12="Woodland",$A12="Shrub",$A12="Water"),"",IF(ISNUMBER(IFERROR($B12*VLOOKUP((IF(OR($A12="Residential urban land",$A12="Commercial/industrial urban land",$A12="Open urban land",$A12="Greenspace",$A12="Community food growing",$A12="Woodland",$A12="Shrub",$A12="Water"),"|||"&amp;$A12,(VLOOKUP(Nutrients_from_current_land_use!$B$5,Value_look_up_tables!$A$127:$B$127,2,FALSE)&amp;"|"&amp;$A12&amp;"|"&amp;VLOOKUP(Nutrients_from_current_land_use!$B$8,Value_look_up_tables!$A$140:$B$141,2,FALSE)&amp;"|"&amp;VLOOKUP(Nutrients_from_current_land_use!$B$7, Value_look_up_tables!$A$101:$C$123,3,FALSE)&amp;"|"&amp;VLOOKUP($B$6,Value_look_up_tables!$A$131:$B$136,2,FALSE)))), Value_look_up_tables!$F$16:$H$89,3,FALSE),IFERROR($B12*VLOOKUP($A12&amp;"|"&amp;VLOOKUP(Nutrients_from_current_land_use!$B$8,Value_look_up_tables!$A$140:$B$141,2,FALSE)&amp;"|"&amp;VLOOKUP(Nutrients_from_current_land_use!$B$7,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3" spans="1:7" ht="37.5" customHeight="1" x14ac:dyDescent="0.35">
      <c r="A13" s="4"/>
      <c r="B13" s="16"/>
      <c r="C13" s="75"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B$8,Value_look_up_tables!$A$140:$B$141,2,FALSE)&amp;"|"&amp;VLOOKUP(Nutrients_from_current_land_use!$B$7,Value_look_up_tables!$A$101:$C$123,3,FALSE)&amp;"|"&amp;VLOOKUP($B$6,Value_look_up_tables!$A$131:$B$136,2,FALSE)))),Value_look_up_tables!$F$16:$H$97,2,FALSE),
IFERROR(IFERROR($B13*VLOOKUP($A13&amp;"|"&amp;VLOOKUP(Nutrients_from_current_land_use!$B$8,Value_look_up_tables!$A$140:$B$141,2,FALSE)&amp;"|"&amp;VLOOKUP(Nutrients_from_current_land_use!$B$7,Value_look_up_tables!$A$101:$C$123,3,FALSE)&amp;"|"&amp;VLOOKUP($B$6,Value_look_up_tables!$A$131:$B$136,2,FALSE),Value_look_up_tables!$F$16:$H$97,2,FALSE),IFERROR($B13*VLOOKUP($A13&amp;"|"&amp;"TRUE"&amp;"|"&amp;VLOOKUP(Nutrients_from_current_land_use!$B$7,Value_look_up_tables!$A$101:$C$123,3,FALSE)&amp;"|"&amp;VLOOKUP($B$6,Value_look_up_tables!$A$131:$B$136,2,FALSE),Value_look_up_tables!$F$16:$H$97,2,FALSE),$B13*VLOOKUP($A13&amp;"|"&amp;VLOOKUP(Nutrients_from_current_land_use!$B$8,Value_look_up_tables!$A$140:$B$141,2,FALSE)&amp;"|"&amp;VLOOKUP(Nutrients_from_current_land_use!$B$7,Value_look_up_tables!$A$101:$C$123,3,FALSE)&amp;"|"&amp;"DrainedArGr",Value_look_up_tables!$F$16:$H$97,2,FALSE))),IFERROR($B13*VLOOKUP($A13&amp;"|"&amp;VLOOKUP(Nutrients_from_current_land_use!$B$7,Value_look_up_tables!$A$101:$C$123,3,FALSE),Value_look_up_tables!$I$16:$K$89,2,FALSE),$B13*VLOOKUP($A13,Value_look_up_tables!$B$16:$M$89,11,FALSE)))))</f>
        <v/>
      </c>
      <c r="D13" s="75"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B$8,Value_look_up_tables!$A$140:$B$141,2,FALSE)&amp;"|"&amp;VLOOKUP(Nutrients_from_current_land_use!$B$7,Value_look_up_tables!$A$101:$C$123,3,FALSE)&amp;"|"&amp;VLOOKUP($B$6,Value_look_up_tables!$A$131:$B$136,2,FALSE)))),Value_look_up_tables!$F$16:$H$97,3,FALSE),
IFERROR(IFERROR($B13*VLOOKUP($A13&amp;"|"&amp;VLOOKUP(Nutrients_from_current_land_use!$B$8,Value_look_up_tables!$A$140:$B$141,2,FALSE)&amp;"|"&amp;VLOOKUP(Nutrients_from_current_land_use!$B$7,Value_look_up_tables!$A$101:$C$123,3,FALSE)&amp;"|"&amp;VLOOKUP($B$6,Value_look_up_tables!$A$131:$B$136,2,FALSE),Value_look_up_tables!$F$16:$H$97,3,FALSE),IFERROR($B13*VLOOKUP($A13&amp;"|"&amp;"TRUE"&amp;"|"&amp;VLOOKUP(Nutrients_from_current_land_use!$B$7,Value_look_up_tables!$A$101:$C$123,3,FALSE)&amp;"|"&amp;VLOOKUP($B$6,Value_look_up_tables!$A$131:$B$136,2,FALSE),Value_look_up_tables!$F$16:$H$97,3,FALSE),$B13*VLOOKUP($A13&amp;"|"&amp;VLOOKUP(Nutrients_from_current_land_use!$B$8,Value_look_up_tables!$A$140:$B$141,2,FALSE)&amp;"|"&amp;VLOOKUP(Nutrients_from_current_land_use!$B$7,Value_look_up_tables!$A$101:$C$123,3,FALSE)&amp;"|"&amp;"DrainedArGr",Value_look_up_tables!$F$16:$H$97,3,FALSE))),IFERROR($B13*VLOOKUP($A13&amp;"|"&amp;VLOOKUP(Nutrients_from_current_land_use!$B$7,Value_look_up_tables!$A$101:$C$123,3,FALSE),Value_look_up_tables!$I$16:$K$89,3,FALSE),$B13*VLOOKUP($A13,Value_look_up_tables!$B$16:$M$89,12,FALSE)))))</f>
        <v/>
      </c>
      <c r="E13" s="5" t="str">
        <f>IF(OR(ISBLANK($A13),ISBLANK($B13),ISBLANK($B$6),ISBLANK($B$5),ISBLANK($B$7),$A13="Residential urban land",$A13="Commercial/industrial urban land",$A13="Open urban land",$A13="Greenspace",$A13="Community food growing",$A13="Woodland",$A13="Shrub",$A13="Water"),"",IF(ISNUMBER(IFERROR($B13*VLOOKUP((IF(OR($A13="Residential urban land",$A13="Commercial/industrial urban land",$A13="Open urban land",$A13="Greenspace",$A13="Community food growing",$A13="Woodland",$A13="Shrub",$A13="Water"),"|||"&amp;$A13,(VLOOKUP(Nutrients_from_current_land_use!$B$5,Value_look_up_tables!$A$127:$B$127,2,FALSE)&amp;"|"&amp;$A13&amp;"|"&amp;VLOOKUP(Nutrients_from_current_land_use!$B$8,Value_look_up_tables!$A$140:$B$141,2,FALSE)&amp;"|"&amp;VLOOKUP(Nutrients_from_current_land_use!$B$7, Value_look_up_tables!$A$101:$C$123,3,FALSE)&amp;"|"&amp;VLOOKUP($B$6,Value_look_up_tables!$A$131:$B$136,2,FALSE)))), Value_look_up_tables!$F$16:$H$89,3,FALSE),IFERROR($B13*VLOOKUP($A13&amp;"|"&amp;VLOOKUP(Nutrients_from_current_land_use!$B$8,Value_look_up_tables!$A$140:$B$141,2,FALSE)&amp;"|"&amp;VLOOKUP(Nutrients_from_current_land_use!$B$7,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4" spans="1:7" ht="37.5" customHeight="1" x14ac:dyDescent="0.35">
      <c r="A14" s="4"/>
      <c r="B14" s="16"/>
      <c r="C14" s="75"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B$8,Value_look_up_tables!$A$140:$B$141,2,FALSE)&amp;"|"&amp;VLOOKUP(Nutrients_from_current_land_use!$B$7,Value_look_up_tables!$A$101:$C$123,3,FALSE)&amp;"|"&amp;VLOOKUP($B$6,Value_look_up_tables!$A$131:$B$136,2,FALSE)))),Value_look_up_tables!$F$16:$H$97,2,FALSE),
IFERROR(IFERROR($B14*VLOOKUP($A14&amp;"|"&amp;VLOOKUP(Nutrients_from_current_land_use!$B$8,Value_look_up_tables!$A$140:$B$141,2,FALSE)&amp;"|"&amp;VLOOKUP(Nutrients_from_current_land_use!$B$7,Value_look_up_tables!$A$101:$C$123,3,FALSE)&amp;"|"&amp;VLOOKUP($B$6,Value_look_up_tables!$A$131:$B$136,2,FALSE),Value_look_up_tables!$F$16:$H$97,2,FALSE),IFERROR($B14*VLOOKUP($A14&amp;"|"&amp;"TRUE"&amp;"|"&amp;VLOOKUP(Nutrients_from_current_land_use!$B$7,Value_look_up_tables!$A$101:$C$123,3,FALSE)&amp;"|"&amp;VLOOKUP($B$6,Value_look_up_tables!$A$131:$B$136,2,FALSE),Value_look_up_tables!$F$16:$H$97,2,FALSE),$B14*VLOOKUP($A14&amp;"|"&amp;VLOOKUP(Nutrients_from_current_land_use!$B$8,Value_look_up_tables!$A$140:$B$141,2,FALSE)&amp;"|"&amp;VLOOKUP(Nutrients_from_current_land_use!$B$7,Value_look_up_tables!$A$101:$C$123,3,FALSE)&amp;"|"&amp;"DrainedArGr",Value_look_up_tables!$F$16:$H$97,2,FALSE))),IFERROR($B14*VLOOKUP($A14&amp;"|"&amp;VLOOKUP(Nutrients_from_current_land_use!$B$7,Value_look_up_tables!$A$101:$C$123,3,FALSE),Value_look_up_tables!$I$16:$K$89,2,FALSE),$B14*VLOOKUP($A14,Value_look_up_tables!$B$16:$M$89,11,FALSE)))))</f>
        <v/>
      </c>
      <c r="D14" s="75"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B$8,Value_look_up_tables!$A$140:$B$141,2,FALSE)&amp;"|"&amp;VLOOKUP(Nutrients_from_current_land_use!$B$7,Value_look_up_tables!$A$101:$C$123,3,FALSE)&amp;"|"&amp;VLOOKUP($B$6,Value_look_up_tables!$A$131:$B$136,2,FALSE)))),Value_look_up_tables!$F$16:$H$97,3,FALSE),
IFERROR(IFERROR($B14*VLOOKUP($A14&amp;"|"&amp;VLOOKUP(Nutrients_from_current_land_use!$B$8,Value_look_up_tables!$A$140:$B$141,2,FALSE)&amp;"|"&amp;VLOOKUP(Nutrients_from_current_land_use!$B$7,Value_look_up_tables!$A$101:$C$123,3,FALSE)&amp;"|"&amp;VLOOKUP($B$6,Value_look_up_tables!$A$131:$B$136,2,FALSE),Value_look_up_tables!$F$16:$H$97,3,FALSE),IFERROR($B14*VLOOKUP($A14&amp;"|"&amp;"TRUE"&amp;"|"&amp;VLOOKUP(Nutrients_from_current_land_use!$B$7,Value_look_up_tables!$A$101:$C$123,3,FALSE)&amp;"|"&amp;VLOOKUP($B$6,Value_look_up_tables!$A$131:$B$136,2,FALSE),Value_look_up_tables!$F$16:$H$97,3,FALSE),$B14*VLOOKUP($A14&amp;"|"&amp;VLOOKUP(Nutrients_from_current_land_use!$B$8,Value_look_up_tables!$A$140:$B$141,2,FALSE)&amp;"|"&amp;VLOOKUP(Nutrients_from_current_land_use!$B$7,Value_look_up_tables!$A$101:$C$123,3,FALSE)&amp;"|"&amp;"DrainedArGr",Value_look_up_tables!$F$16:$H$97,3,FALSE))),IFERROR($B14*VLOOKUP($A14&amp;"|"&amp;VLOOKUP(Nutrients_from_current_land_use!$B$7,Value_look_up_tables!$A$101:$C$123,3,FALSE),Value_look_up_tables!$I$16:$K$89,3,FALSE),$B14*VLOOKUP($A14,Value_look_up_tables!$B$16:$M$89,12,FALSE)))))</f>
        <v/>
      </c>
      <c r="E14" s="5" t="str">
        <f>IF(OR(ISBLANK($A14),ISBLANK($B14),ISBLANK($B$6),ISBLANK($B$5),ISBLANK($B$7),$A14="Residential urban land",$A14="Commercial/industrial urban land",$A14="Open urban land",$A14="Greenspace",$A14="Community food growing",$A14="Woodland",$A14="Shrub",$A14="Water"),"",IF(ISNUMBER(IFERROR($B14*VLOOKUP((IF(OR($A14="Residential urban land",$A14="Commercial/industrial urban land",$A14="Open urban land",$A14="Greenspace",$A14="Community food growing",$A14="Woodland",$A14="Shrub",$A14="Water"),"|||"&amp;$A14,(VLOOKUP(Nutrients_from_current_land_use!$B$5,Value_look_up_tables!$A$127:$B$127,2,FALSE)&amp;"|"&amp;$A14&amp;"|"&amp;VLOOKUP(Nutrients_from_current_land_use!$B$8,Value_look_up_tables!$A$140:$B$141,2,FALSE)&amp;"|"&amp;VLOOKUP(Nutrients_from_current_land_use!$B$7, Value_look_up_tables!$A$101:$C$123,3,FALSE)&amp;"|"&amp;VLOOKUP($B$6,Value_look_up_tables!$A$131:$B$136,2,FALSE)))), Value_look_up_tables!$F$16:$H$89,3,FALSE),IFERROR($B14*VLOOKUP($A14&amp;"|"&amp;VLOOKUP(Nutrients_from_current_land_use!$B$8,Value_look_up_tables!$A$140:$B$141,2,FALSE)&amp;"|"&amp;VLOOKUP(Nutrients_from_current_land_use!$B$7,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5" spans="1:7" ht="37.5" customHeight="1" x14ac:dyDescent="0.35">
      <c r="A15" s="4"/>
      <c r="B15" s="16"/>
      <c r="C15" s="75"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B$8,Value_look_up_tables!$A$140:$B$141,2,FALSE)&amp;"|"&amp;VLOOKUP(Nutrients_from_current_land_use!$B$7,Value_look_up_tables!$A$101:$C$123,3,FALSE)&amp;"|"&amp;VLOOKUP($B$6,Value_look_up_tables!$A$131:$B$136,2,FALSE)))),Value_look_up_tables!$F$16:$H$97,2,FALSE),
IFERROR(IFERROR($B15*VLOOKUP($A15&amp;"|"&amp;VLOOKUP(Nutrients_from_current_land_use!$B$8,Value_look_up_tables!$A$140:$B$141,2,FALSE)&amp;"|"&amp;VLOOKUP(Nutrients_from_current_land_use!$B$7,Value_look_up_tables!$A$101:$C$123,3,FALSE)&amp;"|"&amp;VLOOKUP($B$6,Value_look_up_tables!$A$131:$B$136,2,FALSE),Value_look_up_tables!$F$16:$H$97,2,FALSE),IFERROR($B15*VLOOKUP($A15&amp;"|"&amp;"TRUE"&amp;"|"&amp;VLOOKUP(Nutrients_from_current_land_use!$B$7,Value_look_up_tables!$A$101:$C$123,3,FALSE)&amp;"|"&amp;VLOOKUP($B$6,Value_look_up_tables!$A$131:$B$136,2,FALSE),Value_look_up_tables!$F$16:$H$97,2,FALSE),$B15*VLOOKUP($A15&amp;"|"&amp;VLOOKUP(Nutrients_from_current_land_use!$B$8,Value_look_up_tables!$A$140:$B$141,2,FALSE)&amp;"|"&amp;VLOOKUP(Nutrients_from_current_land_use!$B$7,Value_look_up_tables!$A$101:$C$123,3,FALSE)&amp;"|"&amp;"DrainedArGr",Value_look_up_tables!$F$16:$H$97,2,FALSE))),IFERROR($B15*VLOOKUP($A15&amp;"|"&amp;VLOOKUP(Nutrients_from_current_land_use!$B$7,Value_look_up_tables!$A$101:$C$123,3,FALSE),Value_look_up_tables!$I$16:$K$89,2,FALSE),$B15*VLOOKUP($A15,Value_look_up_tables!$B$16:$M$89,11,FALSE)))))</f>
        <v/>
      </c>
      <c r="D15" s="75"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B$8,Value_look_up_tables!$A$140:$B$141,2,FALSE)&amp;"|"&amp;VLOOKUP(Nutrients_from_current_land_use!$B$7,Value_look_up_tables!$A$101:$C$123,3,FALSE)&amp;"|"&amp;VLOOKUP($B$6,Value_look_up_tables!$A$131:$B$136,2,FALSE)))),Value_look_up_tables!$F$16:$H$97,3,FALSE),
IFERROR(IFERROR($B15*VLOOKUP($A15&amp;"|"&amp;VLOOKUP(Nutrients_from_current_land_use!$B$8,Value_look_up_tables!$A$140:$B$141,2,FALSE)&amp;"|"&amp;VLOOKUP(Nutrients_from_current_land_use!$B$7,Value_look_up_tables!$A$101:$C$123,3,FALSE)&amp;"|"&amp;VLOOKUP($B$6,Value_look_up_tables!$A$131:$B$136,2,FALSE),Value_look_up_tables!$F$16:$H$97,3,FALSE),IFERROR($B15*VLOOKUP($A15&amp;"|"&amp;"TRUE"&amp;"|"&amp;VLOOKUP(Nutrients_from_current_land_use!$B$7,Value_look_up_tables!$A$101:$C$123,3,FALSE)&amp;"|"&amp;VLOOKUP($B$6,Value_look_up_tables!$A$131:$B$136,2,FALSE),Value_look_up_tables!$F$16:$H$97,3,FALSE),$B15*VLOOKUP($A15&amp;"|"&amp;VLOOKUP(Nutrients_from_current_land_use!$B$8,Value_look_up_tables!$A$140:$B$141,2,FALSE)&amp;"|"&amp;VLOOKUP(Nutrients_from_current_land_use!$B$7,Value_look_up_tables!$A$101:$C$123,3,FALSE)&amp;"|"&amp;"DrainedArGr",Value_look_up_tables!$F$16:$H$97,3,FALSE))),IFERROR($B15*VLOOKUP($A15&amp;"|"&amp;VLOOKUP(Nutrients_from_current_land_use!$B$7,Value_look_up_tables!$A$101:$C$123,3,FALSE),Value_look_up_tables!$I$16:$K$89,3,FALSE),$B15*VLOOKUP($A15,Value_look_up_tables!$B$16:$M$89,12,FALSE)))))</f>
        <v/>
      </c>
      <c r="E15" s="5" t="str">
        <f>IF(OR(ISBLANK($A15),ISBLANK($B15),ISBLANK($B$6),ISBLANK($B$5),ISBLANK($B$7),$A15="Residential urban land",$A15="Commercial/industrial urban land",$A15="Open urban land",$A15="Greenspace",$A15="Community food growing",$A15="Woodland",$A15="Shrub",$A15="Water"),"",IF(ISNUMBER(IFERROR($B15*VLOOKUP((IF(OR($A15="Residential urban land",$A15="Commercial/industrial urban land",$A15="Open urban land",$A15="Greenspace",$A15="Community food growing",$A15="Woodland",$A15="Shrub",$A15="Water"),"|||"&amp;$A15,(VLOOKUP(Nutrients_from_current_land_use!$B$5,Value_look_up_tables!$A$127:$B$127,2,FALSE)&amp;"|"&amp;$A15&amp;"|"&amp;VLOOKUP(Nutrients_from_current_land_use!$B$8,Value_look_up_tables!$A$140:$B$141,2,FALSE)&amp;"|"&amp;VLOOKUP(Nutrients_from_current_land_use!$B$7, Value_look_up_tables!$A$101:$C$123,3,FALSE)&amp;"|"&amp;VLOOKUP($B$6,Value_look_up_tables!$A$131:$B$136,2,FALSE)))), Value_look_up_tables!$F$16:$H$89,3,FALSE),IFERROR($B15*VLOOKUP($A15&amp;"|"&amp;VLOOKUP(Nutrients_from_current_land_use!$B$8,Value_look_up_tables!$A$140:$B$141,2,FALSE)&amp;"|"&amp;VLOOKUP(Nutrients_from_current_land_use!$B$7,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6" spans="1:7" ht="37.5" customHeight="1" x14ac:dyDescent="0.35">
      <c r="A16" s="4"/>
      <c r="B16" s="16"/>
      <c r="C16" s="75"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B$8,Value_look_up_tables!$A$140:$B$141,2,FALSE)&amp;"|"&amp;VLOOKUP(Nutrients_from_current_land_use!$B$7,Value_look_up_tables!$A$101:$C$123,3,FALSE)&amp;"|"&amp;VLOOKUP($B$6,Value_look_up_tables!$A$131:$B$136,2,FALSE)))),Value_look_up_tables!$F$16:$H$97,2,FALSE),
IFERROR(IFERROR($B16*VLOOKUP($A16&amp;"|"&amp;VLOOKUP(Nutrients_from_current_land_use!$B$8,Value_look_up_tables!$A$140:$B$141,2,FALSE)&amp;"|"&amp;VLOOKUP(Nutrients_from_current_land_use!$B$7,Value_look_up_tables!$A$101:$C$123,3,FALSE)&amp;"|"&amp;VLOOKUP($B$6,Value_look_up_tables!$A$131:$B$136,2,FALSE),Value_look_up_tables!$F$16:$H$97,2,FALSE),IFERROR($B16*VLOOKUP($A16&amp;"|"&amp;"TRUE"&amp;"|"&amp;VLOOKUP(Nutrients_from_current_land_use!$B$7,Value_look_up_tables!$A$101:$C$123,3,FALSE)&amp;"|"&amp;VLOOKUP($B$6,Value_look_up_tables!$A$131:$B$136,2,FALSE),Value_look_up_tables!$F$16:$H$97,2,FALSE),$B16*VLOOKUP($A16&amp;"|"&amp;VLOOKUP(Nutrients_from_current_land_use!$B$8,Value_look_up_tables!$A$140:$B$141,2,FALSE)&amp;"|"&amp;VLOOKUP(Nutrients_from_current_land_use!$B$7,Value_look_up_tables!$A$101:$C$123,3,FALSE)&amp;"|"&amp;"DrainedArGr",Value_look_up_tables!$F$16:$H$97,2,FALSE))),IFERROR($B16*VLOOKUP($A16&amp;"|"&amp;VLOOKUP(Nutrients_from_current_land_use!$B$7,Value_look_up_tables!$A$101:$C$123,3,FALSE),Value_look_up_tables!$I$16:$K$89,2,FALSE),$B16*VLOOKUP($A16,Value_look_up_tables!$B$16:$M$89,11,FALSE)))))</f>
        <v/>
      </c>
      <c r="D16" s="75"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B$8,Value_look_up_tables!$A$140:$B$141,2,FALSE)&amp;"|"&amp;VLOOKUP(Nutrients_from_current_land_use!$B$7,Value_look_up_tables!$A$101:$C$123,3,FALSE)&amp;"|"&amp;VLOOKUP($B$6,Value_look_up_tables!$A$131:$B$136,2,FALSE)))),Value_look_up_tables!$F$16:$H$97,3,FALSE),
IFERROR(IFERROR($B16*VLOOKUP($A16&amp;"|"&amp;VLOOKUP(Nutrients_from_current_land_use!$B$8,Value_look_up_tables!$A$140:$B$141,2,FALSE)&amp;"|"&amp;VLOOKUP(Nutrients_from_current_land_use!$B$7,Value_look_up_tables!$A$101:$C$123,3,FALSE)&amp;"|"&amp;VLOOKUP($B$6,Value_look_up_tables!$A$131:$B$136,2,FALSE),Value_look_up_tables!$F$16:$H$97,3,FALSE),IFERROR($B16*VLOOKUP($A16&amp;"|"&amp;"TRUE"&amp;"|"&amp;VLOOKUP(Nutrients_from_current_land_use!$B$7,Value_look_up_tables!$A$101:$C$123,3,FALSE)&amp;"|"&amp;VLOOKUP($B$6,Value_look_up_tables!$A$131:$B$136,2,FALSE),Value_look_up_tables!$F$16:$H$97,3,FALSE),$B16*VLOOKUP($A16&amp;"|"&amp;VLOOKUP(Nutrients_from_current_land_use!$B$8,Value_look_up_tables!$A$140:$B$141,2,FALSE)&amp;"|"&amp;VLOOKUP(Nutrients_from_current_land_use!$B$7,Value_look_up_tables!$A$101:$C$123,3,FALSE)&amp;"|"&amp;"DrainedArGr",Value_look_up_tables!$F$16:$H$97,3,FALSE))),IFERROR($B16*VLOOKUP($A16&amp;"|"&amp;VLOOKUP(Nutrients_from_current_land_use!$B$7,Value_look_up_tables!$A$101:$C$123,3,FALSE),Value_look_up_tables!$I$16:$K$89,3,FALSE),$B16*VLOOKUP($A16,Value_look_up_tables!$B$16:$M$89,12,FALSE)))))</f>
        <v/>
      </c>
      <c r="E16" s="5" t="str">
        <f>IF(OR(ISBLANK($A16),ISBLANK($B16),ISBLANK($B$6),ISBLANK($B$5),ISBLANK($B$7),$A16="Residential urban land",$A16="Commercial/industrial urban land",$A16="Open urban land",$A16="Greenspace",$A16="Community food growing",$A16="Woodland",$A16="Shrub",$A16="Water"),"",IF(ISNUMBER(IFERROR($B16*VLOOKUP((IF(OR($A16="Residential urban land",$A16="Commercial/industrial urban land",$A16="Open urban land",$A16="Greenspace",$A16="Community food growing",$A16="Woodland",$A16="Shrub",$A16="Water"),"|||"&amp;$A16,(VLOOKUP(Nutrients_from_current_land_use!$B$5,Value_look_up_tables!$A$127:$B$127,2,FALSE)&amp;"|"&amp;$A16&amp;"|"&amp;VLOOKUP(Nutrients_from_current_land_use!$B$8,Value_look_up_tables!$A$140:$B$141,2,FALSE)&amp;"|"&amp;VLOOKUP(Nutrients_from_current_land_use!$B$7, Value_look_up_tables!$A$101:$C$123,3,FALSE)&amp;"|"&amp;VLOOKUP($B$6,Value_look_up_tables!$A$131:$B$136,2,FALSE)))), Value_look_up_tables!$F$16:$H$89,3,FALSE),IFERROR($B16*VLOOKUP($A16&amp;"|"&amp;VLOOKUP(Nutrients_from_current_land_use!$B$8,Value_look_up_tables!$A$140:$B$141,2,FALSE)&amp;"|"&amp;VLOOKUP(Nutrients_from_current_land_use!$B$7,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7" spans="1:7" ht="37.5" customHeight="1" x14ac:dyDescent="0.35">
      <c r="A17" s="4"/>
      <c r="B17" s="16"/>
      <c r="C17" s="75"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B$8,Value_look_up_tables!$A$140:$B$141,2,FALSE)&amp;"|"&amp;VLOOKUP(Nutrients_from_current_land_use!$B$7,Value_look_up_tables!$A$101:$C$123,3,FALSE)&amp;"|"&amp;VLOOKUP($B$6,Value_look_up_tables!$A$131:$B$136,2,FALSE)))),Value_look_up_tables!$F$16:$H$97,2,FALSE),
IFERROR(IFERROR($B17*VLOOKUP($A17&amp;"|"&amp;VLOOKUP(Nutrients_from_current_land_use!$B$8,Value_look_up_tables!$A$140:$B$141,2,FALSE)&amp;"|"&amp;VLOOKUP(Nutrients_from_current_land_use!$B$7,Value_look_up_tables!$A$101:$C$123,3,FALSE)&amp;"|"&amp;VLOOKUP($B$6,Value_look_up_tables!$A$131:$B$136,2,FALSE),Value_look_up_tables!$F$16:$H$97,2,FALSE),IFERROR($B17*VLOOKUP($A17&amp;"|"&amp;"TRUE"&amp;"|"&amp;VLOOKUP(Nutrients_from_current_land_use!$B$7,Value_look_up_tables!$A$101:$C$123,3,FALSE)&amp;"|"&amp;VLOOKUP($B$6,Value_look_up_tables!$A$131:$B$136,2,FALSE),Value_look_up_tables!$F$16:$H$97,2,FALSE),$B17*VLOOKUP($A17&amp;"|"&amp;VLOOKUP(Nutrients_from_current_land_use!$B$8,Value_look_up_tables!$A$140:$B$141,2,FALSE)&amp;"|"&amp;VLOOKUP(Nutrients_from_current_land_use!$B$7,Value_look_up_tables!$A$101:$C$123,3,FALSE)&amp;"|"&amp;"DrainedArGr",Value_look_up_tables!$F$16:$H$97,2,FALSE))),IFERROR($B17*VLOOKUP($A17&amp;"|"&amp;VLOOKUP(Nutrients_from_current_land_use!$B$7,Value_look_up_tables!$A$101:$C$123,3,FALSE),Value_look_up_tables!$I$16:$K$89,2,FALSE),$B17*VLOOKUP($A17,Value_look_up_tables!$B$16:$M$89,11,FALSE)))))</f>
        <v/>
      </c>
      <c r="D17" s="75"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B$8,Value_look_up_tables!$A$140:$B$141,2,FALSE)&amp;"|"&amp;VLOOKUP(Nutrients_from_current_land_use!$B$7,Value_look_up_tables!$A$101:$C$123,3,FALSE)&amp;"|"&amp;VLOOKUP($B$6,Value_look_up_tables!$A$131:$B$136,2,FALSE)))),Value_look_up_tables!$F$16:$H$97,3,FALSE),
IFERROR(IFERROR($B17*VLOOKUP($A17&amp;"|"&amp;VLOOKUP(Nutrients_from_current_land_use!$B$8,Value_look_up_tables!$A$140:$B$141,2,FALSE)&amp;"|"&amp;VLOOKUP(Nutrients_from_current_land_use!$B$7,Value_look_up_tables!$A$101:$C$123,3,FALSE)&amp;"|"&amp;VLOOKUP($B$6,Value_look_up_tables!$A$131:$B$136,2,FALSE),Value_look_up_tables!$F$16:$H$97,3,FALSE),IFERROR($B17*VLOOKUP($A17&amp;"|"&amp;"TRUE"&amp;"|"&amp;VLOOKUP(Nutrients_from_current_land_use!$B$7,Value_look_up_tables!$A$101:$C$123,3,FALSE)&amp;"|"&amp;VLOOKUP($B$6,Value_look_up_tables!$A$131:$B$136,2,FALSE),Value_look_up_tables!$F$16:$H$97,3,FALSE),$B17*VLOOKUP($A17&amp;"|"&amp;VLOOKUP(Nutrients_from_current_land_use!$B$8,Value_look_up_tables!$A$140:$B$141,2,FALSE)&amp;"|"&amp;VLOOKUP(Nutrients_from_current_land_use!$B$7,Value_look_up_tables!$A$101:$C$123,3,FALSE)&amp;"|"&amp;"DrainedArGr",Value_look_up_tables!$F$16:$H$97,3,FALSE))),IFERROR($B17*VLOOKUP($A17&amp;"|"&amp;VLOOKUP(Nutrients_from_current_land_use!$B$7,Value_look_up_tables!$A$101:$C$123,3,FALSE),Value_look_up_tables!$I$16:$K$89,3,FALSE),$B17*VLOOKUP($A17,Value_look_up_tables!$B$16:$M$89,12,FALSE)))))</f>
        <v/>
      </c>
      <c r="E17" s="5" t="str">
        <f>IF(OR(ISBLANK($A17),ISBLANK($B17),ISBLANK($B$6),ISBLANK($B$5),ISBLANK($B$7),$A17="Residential urban land",$A17="Commercial/industrial urban land",$A17="Open urban land",$A17="Greenspace",$A17="Community food growing",$A17="Woodland",$A17="Shrub",$A17="Water"),"",IF(ISNUMBER(IFERROR($B17*VLOOKUP((IF(OR($A17="Residential urban land",$A17="Commercial/industrial urban land",$A17="Open urban land",$A17="Greenspace",$A17="Community food growing",$A17="Woodland",$A17="Shrub",$A17="Water"),"|||"&amp;$A17,(VLOOKUP(Nutrients_from_current_land_use!$B$5,Value_look_up_tables!$A$127:$B$127,2,FALSE)&amp;"|"&amp;$A17&amp;"|"&amp;VLOOKUP(Nutrients_from_current_land_use!$B$8,Value_look_up_tables!$A$140:$B$141,2,FALSE)&amp;"|"&amp;VLOOKUP(Nutrients_from_current_land_use!$B$7, Value_look_up_tables!$A$101:$C$123,3,FALSE)&amp;"|"&amp;VLOOKUP($B$6,Value_look_up_tables!$A$131:$B$136,2,FALSE)))), Value_look_up_tables!$F$16:$H$89,3,FALSE),IFERROR($B17*VLOOKUP($A17&amp;"|"&amp;VLOOKUP(Nutrients_from_current_land_use!$B$8,Value_look_up_tables!$A$140:$B$141,2,FALSE)&amp;"|"&amp;VLOOKUP(Nutrients_from_current_land_use!$B$7,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8" spans="1:7" ht="37.5" customHeight="1" x14ac:dyDescent="0.35">
      <c r="A18" s="4"/>
      <c r="B18" s="16"/>
      <c r="C18" s="75"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B$8,Value_look_up_tables!$A$140:$B$141,2,FALSE)&amp;"|"&amp;VLOOKUP(Nutrients_from_current_land_use!$B$7,Value_look_up_tables!$A$101:$C$123,3,FALSE)&amp;"|"&amp;VLOOKUP($B$6,Value_look_up_tables!$A$131:$B$136,2,FALSE)))),Value_look_up_tables!$F$16:$H$97,2,FALSE),
IFERROR(IFERROR($B18*VLOOKUP($A18&amp;"|"&amp;VLOOKUP(Nutrients_from_current_land_use!$B$8,Value_look_up_tables!$A$140:$B$141,2,FALSE)&amp;"|"&amp;VLOOKUP(Nutrients_from_current_land_use!$B$7,Value_look_up_tables!$A$101:$C$123,3,FALSE)&amp;"|"&amp;VLOOKUP($B$6,Value_look_up_tables!$A$131:$B$136,2,FALSE),Value_look_up_tables!$F$16:$H$97,2,FALSE),IFERROR($B18*VLOOKUP($A18&amp;"|"&amp;"TRUE"&amp;"|"&amp;VLOOKUP(Nutrients_from_current_land_use!$B$7,Value_look_up_tables!$A$101:$C$123,3,FALSE)&amp;"|"&amp;VLOOKUP($B$6,Value_look_up_tables!$A$131:$B$136,2,FALSE),Value_look_up_tables!$F$16:$H$97,2,FALSE),$B18*VLOOKUP($A18&amp;"|"&amp;VLOOKUP(Nutrients_from_current_land_use!$B$8,Value_look_up_tables!$A$140:$B$141,2,FALSE)&amp;"|"&amp;VLOOKUP(Nutrients_from_current_land_use!$B$7,Value_look_up_tables!$A$101:$C$123,3,FALSE)&amp;"|"&amp;"DrainedArGr",Value_look_up_tables!$F$16:$H$97,2,FALSE))),IFERROR($B18*VLOOKUP($A18&amp;"|"&amp;VLOOKUP(Nutrients_from_current_land_use!$B$7,Value_look_up_tables!$A$101:$C$123,3,FALSE),Value_look_up_tables!$I$16:$K$89,2,FALSE),$B18*VLOOKUP($A18,Value_look_up_tables!$B$16:$M$89,11,FALSE)))))</f>
        <v/>
      </c>
      <c r="D18" s="75"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B$8,Value_look_up_tables!$A$140:$B$141,2,FALSE)&amp;"|"&amp;VLOOKUP(Nutrients_from_current_land_use!$B$7,Value_look_up_tables!$A$101:$C$123,3,FALSE)&amp;"|"&amp;VLOOKUP($B$6,Value_look_up_tables!$A$131:$B$136,2,FALSE)))),Value_look_up_tables!$F$16:$H$97,3,FALSE),
IFERROR(IFERROR($B18*VLOOKUP($A18&amp;"|"&amp;VLOOKUP(Nutrients_from_current_land_use!$B$8,Value_look_up_tables!$A$140:$B$141,2,FALSE)&amp;"|"&amp;VLOOKUP(Nutrients_from_current_land_use!$B$7,Value_look_up_tables!$A$101:$C$123,3,FALSE)&amp;"|"&amp;VLOOKUP($B$6,Value_look_up_tables!$A$131:$B$136,2,FALSE),Value_look_up_tables!$F$16:$H$97,3,FALSE),IFERROR($B18*VLOOKUP($A18&amp;"|"&amp;"TRUE"&amp;"|"&amp;VLOOKUP(Nutrients_from_current_land_use!$B$7,Value_look_up_tables!$A$101:$C$123,3,FALSE)&amp;"|"&amp;VLOOKUP($B$6,Value_look_up_tables!$A$131:$B$136,2,FALSE),Value_look_up_tables!$F$16:$H$97,3,FALSE),$B18*VLOOKUP($A18&amp;"|"&amp;VLOOKUP(Nutrients_from_current_land_use!$B$8,Value_look_up_tables!$A$140:$B$141,2,FALSE)&amp;"|"&amp;VLOOKUP(Nutrients_from_current_land_use!$B$7,Value_look_up_tables!$A$101:$C$123,3,FALSE)&amp;"|"&amp;"DrainedArGr",Value_look_up_tables!$F$16:$H$97,3,FALSE))),IFERROR($B18*VLOOKUP($A18&amp;"|"&amp;VLOOKUP(Nutrients_from_current_land_use!$B$7,Value_look_up_tables!$A$101:$C$123,3,FALSE),Value_look_up_tables!$I$16:$K$89,3,FALSE),$B18*VLOOKUP($A18,Value_look_up_tables!$B$16:$M$89,12,FALSE)))))</f>
        <v/>
      </c>
      <c r="E18" s="5" t="str">
        <f>IF(OR(ISBLANK($A18),ISBLANK($B18),ISBLANK($B$6),ISBLANK($B$5),ISBLANK($B$7),$A18="Residential urban land",$A18="Commercial/industrial urban land",$A18="Open urban land",$A18="Greenspace",$A18="Community food growing",$A18="Woodland",$A18="Shrub",$A18="Water"),"",IF(ISNUMBER(IFERROR($B18*VLOOKUP((IF(OR($A18="Residential urban land",$A18="Commercial/industrial urban land",$A18="Open urban land",$A18="Greenspace",$A18="Community food growing",$A18="Woodland",$A18="Shrub",$A18="Water"),"|||"&amp;$A18,(VLOOKUP(Nutrients_from_current_land_use!$B$5,Value_look_up_tables!$A$127:$B$127,2,FALSE)&amp;"|"&amp;$A18&amp;"|"&amp;VLOOKUP(Nutrients_from_current_land_use!$B$8,Value_look_up_tables!$A$140:$B$141,2,FALSE)&amp;"|"&amp;VLOOKUP(Nutrients_from_current_land_use!$B$7, Value_look_up_tables!$A$101:$C$123,3,FALSE)&amp;"|"&amp;VLOOKUP($B$6,Value_look_up_tables!$A$131:$B$136,2,FALSE)))), Value_look_up_tables!$F$16:$H$89,3,FALSE),IFERROR($B18*VLOOKUP($A18&amp;"|"&amp;VLOOKUP(Nutrients_from_current_land_use!$B$8,Value_look_up_tables!$A$140:$B$141,2,FALSE)&amp;"|"&amp;VLOOKUP(Nutrients_from_current_land_use!$B$7,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19" spans="1:7" ht="37.5" customHeight="1" x14ac:dyDescent="0.35">
      <c r="A19" s="4"/>
      <c r="B19" s="16"/>
      <c r="C19" s="75"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B$8,Value_look_up_tables!$A$140:$B$141,2,FALSE)&amp;"|"&amp;VLOOKUP(Nutrients_from_current_land_use!$B$7,Value_look_up_tables!$A$101:$C$123,3,FALSE)&amp;"|"&amp;VLOOKUP($B$6,Value_look_up_tables!$A$131:$B$136,2,FALSE)))),Value_look_up_tables!$F$16:$H$97,2,FALSE),
IFERROR(IFERROR($B19*VLOOKUP($A19&amp;"|"&amp;VLOOKUP(Nutrients_from_current_land_use!$B$8,Value_look_up_tables!$A$140:$B$141,2,FALSE)&amp;"|"&amp;VLOOKUP(Nutrients_from_current_land_use!$B$7,Value_look_up_tables!$A$101:$C$123,3,FALSE)&amp;"|"&amp;VLOOKUP($B$6,Value_look_up_tables!$A$131:$B$136,2,FALSE),Value_look_up_tables!$F$16:$H$97,2,FALSE),IFERROR($B19*VLOOKUP($A19&amp;"|"&amp;"TRUE"&amp;"|"&amp;VLOOKUP(Nutrients_from_current_land_use!$B$7,Value_look_up_tables!$A$101:$C$123,3,FALSE)&amp;"|"&amp;VLOOKUP($B$6,Value_look_up_tables!$A$131:$B$136,2,FALSE),Value_look_up_tables!$F$16:$H$97,2,FALSE),$B19*VLOOKUP($A19&amp;"|"&amp;VLOOKUP(Nutrients_from_current_land_use!$B$8,Value_look_up_tables!$A$140:$B$141,2,FALSE)&amp;"|"&amp;VLOOKUP(Nutrients_from_current_land_use!$B$7,Value_look_up_tables!$A$101:$C$123,3,FALSE)&amp;"|"&amp;"DrainedArGr",Value_look_up_tables!$F$16:$H$97,2,FALSE))),IFERROR($B19*VLOOKUP($A19&amp;"|"&amp;VLOOKUP(Nutrients_from_current_land_use!$B$7,Value_look_up_tables!$A$101:$C$123,3,FALSE),Value_look_up_tables!$I$16:$K$89,2,FALSE),$B19*VLOOKUP($A19,Value_look_up_tables!$B$16:$M$89,11,FALSE)))))</f>
        <v/>
      </c>
      <c r="D19" s="75"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B$8,Value_look_up_tables!$A$140:$B$141,2,FALSE)&amp;"|"&amp;VLOOKUP(Nutrients_from_current_land_use!$B$7,Value_look_up_tables!$A$101:$C$123,3,FALSE)&amp;"|"&amp;VLOOKUP($B$6,Value_look_up_tables!$A$131:$B$136,2,FALSE)))),Value_look_up_tables!$F$16:$H$97,3,FALSE),
IFERROR(IFERROR($B19*VLOOKUP($A19&amp;"|"&amp;VLOOKUP(Nutrients_from_current_land_use!$B$8,Value_look_up_tables!$A$140:$B$141,2,FALSE)&amp;"|"&amp;VLOOKUP(Nutrients_from_current_land_use!$B$7,Value_look_up_tables!$A$101:$C$123,3,FALSE)&amp;"|"&amp;VLOOKUP($B$6,Value_look_up_tables!$A$131:$B$136,2,FALSE),Value_look_up_tables!$F$16:$H$97,3,FALSE),IFERROR($B19*VLOOKUP($A19&amp;"|"&amp;"TRUE"&amp;"|"&amp;VLOOKUP(Nutrients_from_current_land_use!$B$7,Value_look_up_tables!$A$101:$C$123,3,FALSE)&amp;"|"&amp;VLOOKUP($B$6,Value_look_up_tables!$A$131:$B$136,2,FALSE),Value_look_up_tables!$F$16:$H$97,3,FALSE),$B19*VLOOKUP($A19&amp;"|"&amp;VLOOKUP(Nutrients_from_current_land_use!$B$8,Value_look_up_tables!$A$140:$B$141,2,FALSE)&amp;"|"&amp;VLOOKUP(Nutrients_from_current_land_use!$B$7,Value_look_up_tables!$A$101:$C$123,3,FALSE)&amp;"|"&amp;"DrainedArGr",Value_look_up_tables!$F$16:$H$97,3,FALSE))),IFERROR($B19*VLOOKUP($A19&amp;"|"&amp;VLOOKUP(Nutrients_from_current_land_use!$B$7,Value_look_up_tables!$A$101:$C$123,3,FALSE),Value_look_up_tables!$I$16:$K$89,3,FALSE),$B19*VLOOKUP($A19,Value_look_up_tables!$B$16:$M$89,12,FALSE)))))</f>
        <v/>
      </c>
      <c r="E19" s="5" t="str">
        <f>IF(OR(ISBLANK($A19),ISBLANK($B19),ISBLANK($B$6),ISBLANK($B$5),ISBLANK($B$7),$A19="Residential urban land",$A19="Commercial/industrial urban land",$A19="Open urban land",$A19="Greenspace",$A19="Community food growing",$A19="Woodland",$A19="Shrub",$A19="Water"),"",IF(ISNUMBER(IFERROR($B19*VLOOKUP((IF(OR($A19="Residential urban land",$A19="Commercial/industrial urban land",$A19="Open urban land",$A19="Greenspace",$A19="Community food growing",$A19="Woodland",$A19="Shrub",$A19="Water"),"|||"&amp;$A19,(VLOOKUP(Nutrients_from_current_land_use!$B$5,Value_look_up_tables!$A$127:$B$127,2,FALSE)&amp;"|"&amp;$A19&amp;"|"&amp;VLOOKUP(Nutrients_from_current_land_use!$B$8,Value_look_up_tables!$A$140:$B$141,2,FALSE)&amp;"|"&amp;VLOOKUP(Nutrients_from_current_land_use!$B$7, Value_look_up_tables!$A$101:$C$123,3,FALSE)&amp;"|"&amp;VLOOKUP($B$6,Value_look_up_tables!$A$131:$B$136,2,FALSE)))), Value_look_up_tables!$F$16:$H$89,3,FALSE),IFERROR($B19*VLOOKUP($A19&amp;"|"&amp;VLOOKUP(Nutrients_from_current_land_use!$B$8,Value_look_up_tables!$A$140:$B$141,2,FALSE)&amp;"|"&amp;VLOOKUP(Nutrients_from_current_land_use!$B$7,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0" spans="1:7" ht="37.5" customHeight="1" x14ac:dyDescent="0.35">
      <c r="A20" s="4"/>
      <c r="B20" s="16"/>
      <c r="C20" s="75"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B$8,Value_look_up_tables!$A$140:$B$141,2,FALSE)&amp;"|"&amp;VLOOKUP(Nutrients_from_current_land_use!$B$7,Value_look_up_tables!$A$101:$C$123,3,FALSE)&amp;"|"&amp;VLOOKUP($B$6,Value_look_up_tables!$A$131:$B$136,2,FALSE)))),Value_look_up_tables!$F$16:$H$97,2,FALSE),
IFERROR(IFERROR($B20*VLOOKUP($A20&amp;"|"&amp;VLOOKUP(Nutrients_from_current_land_use!$B$8,Value_look_up_tables!$A$140:$B$141,2,FALSE)&amp;"|"&amp;VLOOKUP(Nutrients_from_current_land_use!$B$7,Value_look_up_tables!$A$101:$C$123,3,FALSE)&amp;"|"&amp;VLOOKUP($B$6,Value_look_up_tables!$A$131:$B$136,2,FALSE),Value_look_up_tables!$F$16:$H$97,2,FALSE),IFERROR($B20*VLOOKUP($A20&amp;"|"&amp;"TRUE"&amp;"|"&amp;VLOOKUP(Nutrients_from_current_land_use!$B$7,Value_look_up_tables!$A$101:$C$123,3,FALSE)&amp;"|"&amp;VLOOKUP($B$6,Value_look_up_tables!$A$131:$B$136,2,FALSE),Value_look_up_tables!$F$16:$H$97,2,FALSE),$B20*VLOOKUP($A20&amp;"|"&amp;VLOOKUP(Nutrients_from_current_land_use!$B$8,Value_look_up_tables!$A$140:$B$141,2,FALSE)&amp;"|"&amp;VLOOKUP(Nutrients_from_current_land_use!$B$7,Value_look_up_tables!$A$101:$C$123,3,FALSE)&amp;"|"&amp;"DrainedArGr",Value_look_up_tables!$F$16:$H$97,2,FALSE))),IFERROR($B20*VLOOKUP($A20&amp;"|"&amp;VLOOKUP(Nutrients_from_current_land_use!$B$7,Value_look_up_tables!$A$101:$C$123,3,FALSE),Value_look_up_tables!$I$16:$K$89,2,FALSE),$B20*VLOOKUP($A20,Value_look_up_tables!$B$16:$M$89,11,FALSE)))))</f>
        <v/>
      </c>
      <c r="D20" s="75"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B$8,Value_look_up_tables!$A$140:$B$141,2,FALSE)&amp;"|"&amp;VLOOKUP(Nutrients_from_current_land_use!$B$7,Value_look_up_tables!$A$101:$C$123,3,FALSE)&amp;"|"&amp;VLOOKUP($B$6,Value_look_up_tables!$A$131:$B$136,2,FALSE)))),Value_look_up_tables!$F$16:$H$97,3,FALSE),
IFERROR(IFERROR($B20*VLOOKUP($A20&amp;"|"&amp;VLOOKUP(Nutrients_from_current_land_use!$B$8,Value_look_up_tables!$A$140:$B$141,2,FALSE)&amp;"|"&amp;VLOOKUP(Nutrients_from_current_land_use!$B$7,Value_look_up_tables!$A$101:$C$123,3,FALSE)&amp;"|"&amp;VLOOKUP($B$6,Value_look_up_tables!$A$131:$B$136,2,FALSE),Value_look_up_tables!$F$16:$H$97,3,FALSE),IFERROR($B20*VLOOKUP($A20&amp;"|"&amp;"TRUE"&amp;"|"&amp;VLOOKUP(Nutrients_from_current_land_use!$B$7,Value_look_up_tables!$A$101:$C$123,3,FALSE)&amp;"|"&amp;VLOOKUP($B$6,Value_look_up_tables!$A$131:$B$136,2,FALSE),Value_look_up_tables!$F$16:$H$97,3,FALSE),$B20*VLOOKUP($A20&amp;"|"&amp;VLOOKUP(Nutrients_from_current_land_use!$B$8,Value_look_up_tables!$A$140:$B$141,2,FALSE)&amp;"|"&amp;VLOOKUP(Nutrients_from_current_land_use!$B$7,Value_look_up_tables!$A$101:$C$123,3,FALSE)&amp;"|"&amp;"DrainedArGr",Value_look_up_tables!$F$16:$H$97,3,FALSE))),IFERROR($B20*VLOOKUP($A20&amp;"|"&amp;VLOOKUP(Nutrients_from_current_land_use!$B$7,Value_look_up_tables!$A$101:$C$123,3,FALSE),Value_look_up_tables!$I$16:$K$89,3,FALSE),$B20*VLOOKUP($A20,Value_look_up_tables!$B$16:$M$89,12,FALSE)))))</f>
        <v/>
      </c>
      <c r="E20" s="5" t="str">
        <f>IF(OR(ISBLANK($A20),ISBLANK($B20),ISBLANK($B$6),ISBLANK($B$5),ISBLANK($B$7),$A20="Residential urban land",$A20="Commercial/industrial urban land",$A20="Open urban land",$A20="Greenspace",$A20="Community food growing",$A20="Woodland",$A20="Shrub",$A20="Water"),"",IF(ISNUMBER(IFERROR($B20*VLOOKUP((IF(OR($A20="Residential urban land",$A20="Commercial/industrial urban land",$A20="Open urban land",$A20="Greenspace",$A20="Community food growing",$A20="Woodland",$A20="Shrub",$A20="Water"),"|||"&amp;$A20,(VLOOKUP(Nutrients_from_current_land_use!$B$5,Value_look_up_tables!$A$127:$B$127,2,FALSE)&amp;"|"&amp;$A20&amp;"|"&amp;VLOOKUP(Nutrients_from_current_land_use!$B$8,Value_look_up_tables!$A$140:$B$141,2,FALSE)&amp;"|"&amp;VLOOKUP(Nutrients_from_current_land_use!$B$7, Value_look_up_tables!$A$101:$C$123,3,FALSE)&amp;"|"&amp;VLOOKUP($B$6,Value_look_up_tables!$A$131:$B$136,2,FALSE)))), Value_look_up_tables!$F$16:$H$89,3,FALSE),IFERROR($B20*VLOOKUP($A20&amp;"|"&amp;VLOOKUP(Nutrients_from_current_land_use!$B$8,Value_look_up_tables!$A$140:$B$141,2,FALSE)&amp;"|"&amp;VLOOKUP(Nutrients_from_current_land_use!$B$7,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1" spans="1:7" ht="37.5" customHeight="1" x14ac:dyDescent="0.35">
      <c r="A21" s="4"/>
      <c r="B21" s="16"/>
      <c r="C21" s="75"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B$8,Value_look_up_tables!$A$140:$B$141,2,FALSE)&amp;"|"&amp;VLOOKUP(Nutrients_from_current_land_use!$B$7,Value_look_up_tables!$A$101:$C$123,3,FALSE)&amp;"|"&amp;VLOOKUP($B$6,Value_look_up_tables!$A$131:$B$136,2,FALSE)))),Value_look_up_tables!$F$16:$H$97,2,FALSE),
IFERROR(IFERROR($B21*VLOOKUP($A21&amp;"|"&amp;VLOOKUP(Nutrients_from_current_land_use!$B$8,Value_look_up_tables!$A$140:$B$141,2,FALSE)&amp;"|"&amp;VLOOKUP(Nutrients_from_current_land_use!$B$7,Value_look_up_tables!$A$101:$C$123,3,FALSE)&amp;"|"&amp;VLOOKUP($B$6,Value_look_up_tables!$A$131:$B$136,2,FALSE),Value_look_up_tables!$F$16:$H$97,2,FALSE),IFERROR($B21*VLOOKUP($A21&amp;"|"&amp;"TRUE"&amp;"|"&amp;VLOOKUP(Nutrients_from_current_land_use!$B$7,Value_look_up_tables!$A$101:$C$123,3,FALSE)&amp;"|"&amp;VLOOKUP($B$6,Value_look_up_tables!$A$131:$B$136,2,FALSE),Value_look_up_tables!$F$16:$H$97,2,FALSE),$B21*VLOOKUP($A21&amp;"|"&amp;VLOOKUP(Nutrients_from_current_land_use!$B$8,Value_look_up_tables!$A$140:$B$141,2,FALSE)&amp;"|"&amp;VLOOKUP(Nutrients_from_current_land_use!$B$7,Value_look_up_tables!$A$101:$C$123,3,FALSE)&amp;"|"&amp;"DrainedArGr",Value_look_up_tables!$F$16:$H$97,2,FALSE))),IFERROR($B21*VLOOKUP($A21&amp;"|"&amp;VLOOKUP(Nutrients_from_current_land_use!$B$7,Value_look_up_tables!$A$101:$C$123,3,FALSE),Value_look_up_tables!$I$16:$K$89,2,FALSE),$B21*VLOOKUP($A21,Value_look_up_tables!$B$16:$M$89,11,FALSE)))))</f>
        <v/>
      </c>
      <c r="D21" s="75"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B$8,Value_look_up_tables!$A$140:$B$141,2,FALSE)&amp;"|"&amp;VLOOKUP(Nutrients_from_current_land_use!$B$7,Value_look_up_tables!$A$101:$C$123,3,FALSE)&amp;"|"&amp;VLOOKUP($B$6,Value_look_up_tables!$A$131:$B$136,2,FALSE)))),Value_look_up_tables!$F$16:$H$97,3,FALSE),
IFERROR(IFERROR($B21*VLOOKUP($A21&amp;"|"&amp;VLOOKUP(Nutrients_from_current_land_use!$B$8,Value_look_up_tables!$A$140:$B$141,2,FALSE)&amp;"|"&amp;VLOOKUP(Nutrients_from_current_land_use!$B$7,Value_look_up_tables!$A$101:$C$123,3,FALSE)&amp;"|"&amp;VLOOKUP($B$6,Value_look_up_tables!$A$131:$B$136,2,FALSE),Value_look_up_tables!$F$16:$H$97,3,FALSE),IFERROR($B21*VLOOKUP($A21&amp;"|"&amp;"TRUE"&amp;"|"&amp;VLOOKUP(Nutrients_from_current_land_use!$B$7,Value_look_up_tables!$A$101:$C$123,3,FALSE)&amp;"|"&amp;VLOOKUP($B$6,Value_look_up_tables!$A$131:$B$136,2,FALSE),Value_look_up_tables!$F$16:$H$97,3,FALSE),$B21*VLOOKUP($A21&amp;"|"&amp;VLOOKUP(Nutrients_from_current_land_use!$B$8,Value_look_up_tables!$A$140:$B$141,2,FALSE)&amp;"|"&amp;VLOOKUP(Nutrients_from_current_land_use!$B$7,Value_look_up_tables!$A$101:$C$123,3,FALSE)&amp;"|"&amp;"DrainedArGr",Value_look_up_tables!$F$16:$H$97,3,FALSE))),IFERROR($B21*VLOOKUP($A21&amp;"|"&amp;VLOOKUP(Nutrients_from_current_land_use!$B$7,Value_look_up_tables!$A$101:$C$123,3,FALSE),Value_look_up_tables!$I$16:$K$89,3,FALSE),$B21*VLOOKUP($A21,Value_look_up_tables!$B$16:$M$89,12,FALSE)))))</f>
        <v/>
      </c>
      <c r="E21" s="5" t="str">
        <f>IF(OR(ISBLANK($A21),ISBLANK($B21),ISBLANK($B$6),ISBLANK($B$5),ISBLANK($B$7),$A21="Residential urban land",$A21="Commercial/industrial urban land",$A21="Open urban land",$A21="Greenspace",$A21="Community food growing",$A21="Woodland",$A21="Shrub",$A21="Water"),"",IF(ISNUMBER(IFERROR($B21*VLOOKUP((IF(OR($A21="Residential urban land",$A21="Commercial/industrial urban land",$A21="Open urban land",$A21="Greenspace",$A21="Community food growing",$A21="Woodland",$A21="Shrub",$A21="Water"),"|||"&amp;$A21,(VLOOKUP(Nutrients_from_current_land_use!$B$5,Value_look_up_tables!$A$127:$B$127,2,FALSE)&amp;"|"&amp;$A21&amp;"|"&amp;VLOOKUP(Nutrients_from_current_land_use!$B$8,Value_look_up_tables!$A$140:$B$141,2,FALSE)&amp;"|"&amp;VLOOKUP(Nutrients_from_current_land_use!$B$7, Value_look_up_tables!$A$101:$C$123,3,FALSE)&amp;"|"&amp;VLOOKUP($B$6,Value_look_up_tables!$A$131:$B$136,2,FALSE)))), Value_look_up_tables!$F$16:$H$89,3,FALSE),IFERROR($B21*VLOOKUP($A21&amp;"|"&amp;VLOOKUP(Nutrients_from_current_land_use!$B$8,Value_look_up_tables!$A$140:$B$141,2,FALSE)&amp;"|"&amp;VLOOKUP(Nutrients_from_current_land_use!$B$7,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2" spans="1:7" ht="37.5" customHeight="1" x14ac:dyDescent="0.35">
      <c r="A22" s="4"/>
      <c r="B22" s="16"/>
      <c r="C22" s="75"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$127:$B$127,2,FALSE)&amp;"|"&amp;$A22&amp;"|"&amp;VLOOKUP(Nutrients_from_current_land_use!$B$8,Value_look_up_tables!$A$140:$B$141,2,FALSE)&amp;"|"&amp;VLOOKUP(Nutrients_from_current_land_use!$B$7,Value_look_up_tables!$A$101:$C$123,3,FALSE)&amp;"|"&amp;VLOOKUP($B$6,Value_look_up_tables!$A$131:$B$136,2,FALSE)))),Value_look_up_tables!$F$16:$H$97,2,FALSE),
IFERROR(IFERROR($B22*VLOOKUP($A22&amp;"|"&amp;VLOOKUP(Nutrients_from_current_land_use!$B$8,Value_look_up_tables!$A$140:$B$141,2,FALSE)&amp;"|"&amp;VLOOKUP(Nutrients_from_current_land_use!$B$7,Value_look_up_tables!$A$101:$C$123,3,FALSE)&amp;"|"&amp;VLOOKUP($B$6,Value_look_up_tables!$A$131:$B$136,2,FALSE),Value_look_up_tables!$F$16:$H$97,2,FALSE),IFERROR($B22*VLOOKUP($A22&amp;"|"&amp;"TRUE"&amp;"|"&amp;VLOOKUP(Nutrients_from_current_land_use!$B$7,Value_look_up_tables!$A$101:$C$123,3,FALSE)&amp;"|"&amp;VLOOKUP($B$6,Value_look_up_tables!$A$131:$B$136,2,FALSE),Value_look_up_tables!$F$16:$H$97,2,FALSE),$B22*VLOOKUP($A22&amp;"|"&amp;VLOOKUP(Nutrients_from_current_land_use!$B$8,Value_look_up_tables!$A$140:$B$141,2,FALSE)&amp;"|"&amp;VLOOKUP(Nutrients_from_current_land_use!$B$7,Value_look_up_tables!$A$101:$C$123,3,FALSE)&amp;"|"&amp;"DrainedArGr",Value_look_up_tables!$F$16:$H$97,2,FALSE))),IFERROR($B22*VLOOKUP($A22&amp;"|"&amp;VLOOKUP(Nutrients_from_current_land_use!$B$7,Value_look_up_tables!$A$101:$C$123,3,FALSE),Value_look_up_tables!$I$16:$K$89,2,FALSE),$B22*VLOOKUP($A22,Value_look_up_tables!$B$16:$M$89,11,FALSE)))))</f>
        <v/>
      </c>
      <c r="D22" s="75"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$127:$B$127,2,FALSE)&amp;"|"&amp;$A22&amp;"|"&amp;VLOOKUP(Nutrients_from_current_land_use!$B$8,Value_look_up_tables!$A$140:$B$141,2,FALSE)&amp;"|"&amp;VLOOKUP(Nutrients_from_current_land_use!$B$7,Value_look_up_tables!$A$101:$C$123,3,FALSE)&amp;"|"&amp;VLOOKUP($B$6,Value_look_up_tables!$A$131:$B$136,2,FALSE)))),Value_look_up_tables!$F$16:$H$97,3,FALSE),
IFERROR(IFERROR($B22*VLOOKUP($A22&amp;"|"&amp;VLOOKUP(Nutrients_from_current_land_use!$B$8,Value_look_up_tables!$A$140:$B$141,2,FALSE)&amp;"|"&amp;VLOOKUP(Nutrients_from_current_land_use!$B$7,Value_look_up_tables!$A$101:$C$123,3,FALSE)&amp;"|"&amp;VLOOKUP($B$6,Value_look_up_tables!$A$131:$B$136,2,FALSE),Value_look_up_tables!$F$16:$H$97,3,FALSE),IFERROR($B22*VLOOKUP($A22&amp;"|"&amp;"TRUE"&amp;"|"&amp;VLOOKUP(Nutrients_from_current_land_use!$B$7,Value_look_up_tables!$A$101:$C$123,3,FALSE)&amp;"|"&amp;VLOOKUP($B$6,Value_look_up_tables!$A$131:$B$136,2,FALSE),Value_look_up_tables!$F$16:$H$97,3,FALSE),$B22*VLOOKUP($A22&amp;"|"&amp;VLOOKUP(Nutrients_from_current_land_use!$B$8,Value_look_up_tables!$A$140:$B$141,2,FALSE)&amp;"|"&amp;VLOOKUP(Nutrients_from_current_land_use!$B$7,Value_look_up_tables!$A$101:$C$123,3,FALSE)&amp;"|"&amp;"DrainedArGr",Value_look_up_tables!$F$16:$H$97,3,FALSE))),IFERROR($B22*VLOOKUP($A22&amp;"|"&amp;VLOOKUP(Nutrients_from_current_land_use!$B$7,Value_look_up_tables!$A$101:$C$123,3,FALSE),Value_look_up_tables!$I$16:$K$89,3,FALSE),$B22*VLOOKUP($A22,Value_look_up_tables!$B$16:$M$89,12,FALSE)))))</f>
        <v/>
      </c>
      <c r="E22" s="5" t="str">
        <f>IF(OR(ISBLANK($A22),ISBLANK($B22),ISBLANK($B$6),ISBLANK($B$5),ISBLANK($B$7),$A22="Residential urban land",$A22="Commercial/industrial urban land",$A22="Open urban land",$A22="Greenspace",$A22="Community food growing",$A22="Woodland",$A22="Shrub",$A22="Water"),"",IF(ISNUMBER(IFERROR($B22*VLOOKUP((IF(OR($A22="Residential urban land",$A22="Commercial/industrial urban land",$A22="Open urban land",$A22="Greenspace",$A22="Community food growing",$A22="Woodland",$A22="Shrub",$A22="Water"),"|||"&amp;$A22,(VLOOKUP(Nutrients_from_current_land_use!$B$5,Value_look_up_tables!$A$127:$B$127,2,FALSE)&amp;"|"&amp;$A22&amp;"|"&amp;VLOOKUP(Nutrients_from_current_land_use!$B$8,Value_look_up_tables!$A$140:$B$141,2,FALSE)&amp;"|"&amp;VLOOKUP(Nutrients_from_current_land_use!$B$7, Value_look_up_tables!$A$101:$C$123,3,FALSE)&amp;"|"&amp;VLOOKUP($B$6,Value_look_up_tables!$A$131:$B$136,2,FALSE)))), Value_look_up_tables!$F$16:$H$89,3,FALSE),IFERROR($B22*VLOOKUP($A22&amp;"|"&amp;VLOOKUP(Nutrients_from_current_land_use!$B$8,Value_look_up_tables!$A$140:$B$141,2,FALSE)&amp;"|"&amp;VLOOKUP(Nutrients_from_current_land_use!$B$7,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c r="G22" s="87"/>
    </row>
    <row r="23" spans="1:7" ht="37.5" customHeight="1" x14ac:dyDescent="0.35">
      <c r="A23" s="4"/>
      <c r="B23" s="16"/>
      <c r="C23" s="75"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$127:$B$127,2,FALSE)&amp;"|"&amp;$A23&amp;"|"&amp;VLOOKUP(Nutrients_from_current_land_use!$B$8,Value_look_up_tables!$A$140:$B$141,2,FALSE)&amp;"|"&amp;VLOOKUP(Nutrients_from_current_land_use!$B$7,Value_look_up_tables!$A$101:$C$123,3,FALSE)&amp;"|"&amp;VLOOKUP($B$6,Value_look_up_tables!$A$131:$B$136,2,FALSE)))),Value_look_up_tables!$F$16:$H$97,2,FALSE),
IFERROR(IFERROR($B23*VLOOKUP($A23&amp;"|"&amp;VLOOKUP(Nutrients_from_current_land_use!$B$8,Value_look_up_tables!$A$140:$B$141,2,FALSE)&amp;"|"&amp;VLOOKUP(Nutrients_from_current_land_use!$B$7,Value_look_up_tables!$A$101:$C$123,3,FALSE)&amp;"|"&amp;VLOOKUP($B$6,Value_look_up_tables!$A$131:$B$136,2,FALSE),Value_look_up_tables!$F$16:$H$97,2,FALSE),IFERROR($B23*VLOOKUP($A23&amp;"|"&amp;"TRUE"&amp;"|"&amp;VLOOKUP(Nutrients_from_current_land_use!$B$7,Value_look_up_tables!$A$101:$C$123,3,FALSE)&amp;"|"&amp;VLOOKUP($B$6,Value_look_up_tables!$A$131:$B$136,2,FALSE),Value_look_up_tables!$F$16:$H$97,2,FALSE),$B23*VLOOKUP($A23&amp;"|"&amp;VLOOKUP(Nutrients_from_current_land_use!$B$8,Value_look_up_tables!$A$140:$B$141,2,FALSE)&amp;"|"&amp;VLOOKUP(Nutrients_from_current_land_use!$B$7,Value_look_up_tables!$A$101:$C$123,3,FALSE)&amp;"|"&amp;"DrainedArGr",Value_look_up_tables!$F$16:$H$97,2,FALSE))),IFERROR($B23*VLOOKUP($A23&amp;"|"&amp;VLOOKUP(Nutrients_from_current_land_use!$B$7,Value_look_up_tables!$A$101:$C$123,3,FALSE),Value_look_up_tables!$I$16:$K$89,2,FALSE),$B23*VLOOKUP($A23,Value_look_up_tables!$B$16:$M$89,11,FALSE)))))</f>
        <v/>
      </c>
      <c r="D23" s="75"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$127:$B$127,2,FALSE)&amp;"|"&amp;$A23&amp;"|"&amp;VLOOKUP(Nutrients_from_current_land_use!$B$8,Value_look_up_tables!$A$140:$B$141,2,FALSE)&amp;"|"&amp;VLOOKUP(Nutrients_from_current_land_use!$B$7,Value_look_up_tables!$A$101:$C$123,3,FALSE)&amp;"|"&amp;VLOOKUP($B$6,Value_look_up_tables!$A$131:$B$136,2,FALSE)))),Value_look_up_tables!$F$16:$H$97,3,FALSE),
IFERROR(IFERROR($B23*VLOOKUP($A23&amp;"|"&amp;VLOOKUP(Nutrients_from_current_land_use!$B$8,Value_look_up_tables!$A$140:$B$141,2,FALSE)&amp;"|"&amp;VLOOKUP(Nutrients_from_current_land_use!$B$7,Value_look_up_tables!$A$101:$C$123,3,FALSE)&amp;"|"&amp;VLOOKUP($B$6,Value_look_up_tables!$A$131:$B$136,2,FALSE),Value_look_up_tables!$F$16:$H$97,3,FALSE),IFERROR($B23*VLOOKUP($A23&amp;"|"&amp;"TRUE"&amp;"|"&amp;VLOOKUP(Nutrients_from_current_land_use!$B$7,Value_look_up_tables!$A$101:$C$123,3,FALSE)&amp;"|"&amp;VLOOKUP($B$6,Value_look_up_tables!$A$131:$B$136,2,FALSE),Value_look_up_tables!$F$16:$H$97,3,FALSE),$B23*VLOOKUP($A23&amp;"|"&amp;VLOOKUP(Nutrients_from_current_land_use!$B$8,Value_look_up_tables!$A$140:$B$141,2,FALSE)&amp;"|"&amp;VLOOKUP(Nutrients_from_current_land_use!$B$7,Value_look_up_tables!$A$101:$C$123,3,FALSE)&amp;"|"&amp;"DrainedArGr",Value_look_up_tables!$F$16:$H$97,3,FALSE))),IFERROR($B23*VLOOKUP($A23&amp;"|"&amp;VLOOKUP(Nutrients_from_current_land_use!$B$7,Value_look_up_tables!$A$101:$C$123,3,FALSE),Value_look_up_tables!$I$16:$K$89,3,FALSE),$B23*VLOOKUP($A23,Value_look_up_tables!$B$16:$M$89,12,FALSE)))))</f>
        <v/>
      </c>
      <c r="E23" s="5" t="str">
        <f>IF(OR(ISBLANK($A23),ISBLANK($B23),ISBLANK($B$6),ISBLANK($B$5),ISBLANK($B$7),$A23="Residential urban land",$A23="Commercial/industrial urban land",$A23="Open urban land",$A23="Greenspace",$A23="Community food growing",$A23="Woodland",$A23="Shrub",$A23="Water"),"",IF(ISNUMBER(IFERROR($B23*VLOOKUP((IF(OR($A23="Residential urban land",$A23="Commercial/industrial urban land",$A23="Open urban land",$A23="Greenspace",$A23="Community food growing",$A23="Woodland",$A23="Shrub",$A23="Water"),"|||"&amp;$A23,(VLOOKUP(Nutrients_from_current_land_use!$B$5,Value_look_up_tables!$A$127:$B$127,2,FALSE)&amp;"|"&amp;$A23&amp;"|"&amp;VLOOKUP(Nutrients_from_current_land_use!$B$8,Value_look_up_tables!$A$140:$B$141,2,FALSE)&amp;"|"&amp;VLOOKUP(Nutrients_from_current_land_use!$B$7, Value_look_up_tables!$A$101:$C$123,3,FALSE)&amp;"|"&amp;VLOOKUP($B$6,Value_look_up_tables!$A$131:$B$136,2,FALSE)))), Value_look_up_tables!$F$16:$H$89,3,FALSE),IFERROR($B23*VLOOKUP($A23&amp;"|"&amp;VLOOKUP(Nutrients_from_current_land_use!$B$8,Value_look_up_tables!$A$140:$B$141,2,FALSE)&amp;"|"&amp;VLOOKUP(Nutrients_from_current_land_use!$B$7,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4" spans="1:7" ht="37.5" customHeight="1" x14ac:dyDescent="0.35">
      <c r="A24" s="4"/>
      <c r="B24" s="16"/>
      <c r="C24" s="75"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$127:$B$127,2,FALSE)&amp;"|"&amp;$A24&amp;"|"&amp;VLOOKUP(Nutrients_from_current_land_use!$B$8,Value_look_up_tables!$A$140:$B$141,2,FALSE)&amp;"|"&amp;VLOOKUP(Nutrients_from_current_land_use!$B$7,Value_look_up_tables!$A$101:$C$123,3,FALSE)&amp;"|"&amp;VLOOKUP($B$6,Value_look_up_tables!$A$131:$B$136,2,FALSE)))),Value_look_up_tables!$F$16:$H$97,2,FALSE),
IFERROR(IFERROR($B24*VLOOKUP($A24&amp;"|"&amp;VLOOKUP(Nutrients_from_current_land_use!$B$8,Value_look_up_tables!$A$140:$B$141,2,FALSE)&amp;"|"&amp;VLOOKUP(Nutrients_from_current_land_use!$B$7,Value_look_up_tables!$A$101:$C$123,3,FALSE)&amp;"|"&amp;VLOOKUP($B$6,Value_look_up_tables!$A$131:$B$136,2,FALSE),Value_look_up_tables!$F$16:$H$97,2,FALSE),IFERROR($B24*VLOOKUP($A24&amp;"|"&amp;"TRUE"&amp;"|"&amp;VLOOKUP(Nutrients_from_current_land_use!$B$7,Value_look_up_tables!$A$101:$C$123,3,FALSE)&amp;"|"&amp;VLOOKUP($B$6,Value_look_up_tables!$A$131:$B$136,2,FALSE),Value_look_up_tables!$F$16:$H$97,2,FALSE),$B24*VLOOKUP($A24&amp;"|"&amp;VLOOKUP(Nutrients_from_current_land_use!$B$8,Value_look_up_tables!$A$140:$B$141,2,FALSE)&amp;"|"&amp;VLOOKUP(Nutrients_from_current_land_use!$B$7,Value_look_up_tables!$A$101:$C$123,3,FALSE)&amp;"|"&amp;"DrainedArGr",Value_look_up_tables!$F$16:$H$97,2,FALSE))),IFERROR($B24*VLOOKUP($A24&amp;"|"&amp;VLOOKUP(Nutrients_from_current_land_use!$B$7,Value_look_up_tables!$A$101:$C$123,3,FALSE),Value_look_up_tables!$I$16:$K$89,2,FALSE),$B24*VLOOKUP($A24,Value_look_up_tables!$B$16:$M$89,11,FALSE)))))</f>
        <v/>
      </c>
      <c r="D24" s="75"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$127:$B$127,2,FALSE)&amp;"|"&amp;$A24&amp;"|"&amp;VLOOKUP(Nutrients_from_current_land_use!$B$8,Value_look_up_tables!$A$140:$B$141,2,FALSE)&amp;"|"&amp;VLOOKUP(Nutrients_from_current_land_use!$B$7,Value_look_up_tables!$A$101:$C$123,3,FALSE)&amp;"|"&amp;VLOOKUP($B$6,Value_look_up_tables!$A$131:$B$136,2,FALSE)))),Value_look_up_tables!$F$16:$H$97,3,FALSE),
IFERROR(IFERROR($B24*VLOOKUP($A24&amp;"|"&amp;VLOOKUP(Nutrients_from_current_land_use!$B$8,Value_look_up_tables!$A$140:$B$141,2,FALSE)&amp;"|"&amp;VLOOKUP(Nutrients_from_current_land_use!$B$7,Value_look_up_tables!$A$101:$C$123,3,FALSE)&amp;"|"&amp;VLOOKUP($B$6,Value_look_up_tables!$A$131:$B$136,2,FALSE),Value_look_up_tables!$F$16:$H$97,3,FALSE),IFERROR($B24*VLOOKUP($A24&amp;"|"&amp;"TRUE"&amp;"|"&amp;VLOOKUP(Nutrients_from_current_land_use!$B$7,Value_look_up_tables!$A$101:$C$123,3,FALSE)&amp;"|"&amp;VLOOKUP($B$6,Value_look_up_tables!$A$131:$B$136,2,FALSE),Value_look_up_tables!$F$16:$H$97,3,FALSE),$B24*VLOOKUP($A24&amp;"|"&amp;VLOOKUP(Nutrients_from_current_land_use!$B$8,Value_look_up_tables!$A$140:$B$141,2,FALSE)&amp;"|"&amp;VLOOKUP(Nutrients_from_current_land_use!$B$7,Value_look_up_tables!$A$101:$C$123,3,FALSE)&amp;"|"&amp;"DrainedArGr",Value_look_up_tables!$F$16:$H$97,3,FALSE))),IFERROR($B24*VLOOKUP($A24&amp;"|"&amp;VLOOKUP(Nutrients_from_current_land_use!$B$7,Value_look_up_tables!$A$101:$C$123,3,FALSE),Value_look_up_tables!$I$16:$K$89,3,FALSE),$B24*VLOOKUP($A24,Value_look_up_tables!$B$16:$M$89,12,FALSE)))))</f>
        <v/>
      </c>
      <c r="E24" s="5" t="str">
        <f>IF(OR(ISBLANK($A24),ISBLANK($B24),ISBLANK($B$6),ISBLANK($B$5),ISBLANK($B$7),$A24="Residential urban land",$A24="Commercial/industrial urban land",$A24="Open urban land",$A24="Greenspace",$A24="Community food growing",$A24="Woodland",$A24="Shrub",$A24="Water"),"",IF(ISNUMBER(IFERROR($B24*VLOOKUP((IF(OR($A24="Residential urban land",$A24="Commercial/industrial urban land",$A24="Open urban land",$A24="Greenspace",$A24="Community food growing",$A24="Woodland",$A24="Shrub",$A24="Water"),"|||"&amp;$A24,(VLOOKUP(Nutrients_from_current_land_use!$B$5,Value_look_up_tables!$A$127:$B$127,2,FALSE)&amp;"|"&amp;$A24&amp;"|"&amp;VLOOKUP(Nutrients_from_current_land_use!$B$8,Value_look_up_tables!$A$140:$B$141,2,FALSE)&amp;"|"&amp;VLOOKUP(Nutrients_from_current_land_use!$B$7, Value_look_up_tables!$A$101:$C$123,3,FALSE)&amp;"|"&amp;VLOOKUP($B$6,Value_look_up_tables!$A$131:$B$136,2,FALSE)))), Value_look_up_tables!$F$16:$H$89,3,FALSE),IFERROR($B24*VLOOKUP($A24&amp;"|"&amp;VLOOKUP(Nutrients_from_current_land_use!$B$8,Value_look_up_tables!$A$140:$B$141,2,FALSE)&amp;"|"&amp;VLOOKUP(Nutrients_from_current_land_use!$B$7,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5" spans="1:7" ht="37.5" customHeight="1" x14ac:dyDescent="0.35">
      <c r="A25" s="4"/>
      <c r="B25" s="16"/>
      <c r="C25" s="75"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$127:$B$127,2,FALSE)&amp;"|"&amp;$A25&amp;"|"&amp;VLOOKUP(Nutrients_from_current_land_use!$B$8,Value_look_up_tables!$A$140:$B$141,2,FALSE)&amp;"|"&amp;VLOOKUP(Nutrients_from_current_land_use!$B$7,Value_look_up_tables!$A$101:$C$123,3,FALSE)&amp;"|"&amp;VLOOKUP($B$6,Value_look_up_tables!$A$131:$B$136,2,FALSE)))),Value_look_up_tables!$F$16:$H$97,2,FALSE),
IFERROR(IFERROR($B25*VLOOKUP($A25&amp;"|"&amp;VLOOKUP(Nutrients_from_current_land_use!$B$8,Value_look_up_tables!$A$140:$B$141,2,FALSE)&amp;"|"&amp;VLOOKUP(Nutrients_from_current_land_use!$B$7,Value_look_up_tables!$A$101:$C$123,3,FALSE)&amp;"|"&amp;VLOOKUP($B$6,Value_look_up_tables!$A$131:$B$136,2,FALSE),Value_look_up_tables!$F$16:$H$97,2,FALSE),IFERROR($B25*VLOOKUP($A25&amp;"|"&amp;"TRUE"&amp;"|"&amp;VLOOKUP(Nutrients_from_current_land_use!$B$7,Value_look_up_tables!$A$101:$C$123,3,FALSE)&amp;"|"&amp;VLOOKUP($B$6,Value_look_up_tables!$A$131:$B$136,2,FALSE),Value_look_up_tables!$F$16:$H$97,2,FALSE),$B25*VLOOKUP($A25&amp;"|"&amp;VLOOKUP(Nutrients_from_current_land_use!$B$8,Value_look_up_tables!$A$140:$B$141,2,FALSE)&amp;"|"&amp;VLOOKUP(Nutrients_from_current_land_use!$B$7,Value_look_up_tables!$A$101:$C$123,3,FALSE)&amp;"|"&amp;"DrainedArGr",Value_look_up_tables!$F$16:$H$97,2,FALSE))),IFERROR($B25*VLOOKUP($A25&amp;"|"&amp;VLOOKUP(Nutrients_from_current_land_use!$B$7,Value_look_up_tables!$A$101:$C$123,3,FALSE),Value_look_up_tables!$I$16:$K$89,2,FALSE),$B25*VLOOKUP($A25,Value_look_up_tables!$B$16:$M$89,11,FALSE)))))</f>
        <v/>
      </c>
      <c r="D25" s="75"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$127:$B$127,2,FALSE)&amp;"|"&amp;$A25&amp;"|"&amp;VLOOKUP(Nutrients_from_current_land_use!$B$8,Value_look_up_tables!$A$140:$B$141,2,FALSE)&amp;"|"&amp;VLOOKUP(Nutrients_from_current_land_use!$B$7,Value_look_up_tables!$A$101:$C$123,3,FALSE)&amp;"|"&amp;VLOOKUP($B$6,Value_look_up_tables!$A$131:$B$136,2,FALSE)))),Value_look_up_tables!$F$16:$H$97,3,FALSE),
IFERROR(IFERROR($B25*VLOOKUP($A25&amp;"|"&amp;VLOOKUP(Nutrients_from_current_land_use!$B$8,Value_look_up_tables!$A$140:$B$141,2,FALSE)&amp;"|"&amp;VLOOKUP(Nutrients_from_current_land_use!$B$7,Value_look_up_tables!$A$101:$C$123,3,FALSE)&amp;"|"&amp;VLOOKUP($B$6,Value_look_up_tables!$A$131:$B$136,2,FALSE),Value_look_up_tables!$F$16:$H$97,3,FALSE),IFERROR($B25*VLOOKUP($A25&amp;"|"&amp;"TRUE"&amp;"|"&amp;VLOOKUP(Nutrients_from_current_land_use!$B$7,Value_look_up_tables!$A$101:$C$123,3,FALSE)&amp;"|"&amp;VLOOKUP($B$6,Value_look_up_tables!$A$131:$B$136,2,FALSE),Value_look_up_tables!$F$16:$H$97,3,FALSE),$B25*VLOOKUP($A25&amp;"|"&amp;VLOOKUP(Nutrients_from_current_land_use!$B$8,Value_look_up_tables!$A$140:$B$141,2,FALSE)&amp;"|"&amp;VLOOKUP(Nutrients_from_current_land_use!$B$7,Value_look_up_tables!$A$101:$C$123,3,FALSE)&amp;"|"&amp;"DrainedArGr",Value_look_up_tables!$F$16:$H$97,3,FALSE))),IFERROR($B25*VLOOKUP($A25&amp;"|"&amp;VLOOKUP(Nutrients_from_current_land_use!$B$7,Value_look_up_tables!$A$101:$C$123,3,FALSE),Value_look_up_tables!$I$16:$K$89,3,FALSE),$B25*VLOOKUP($A25,Value_look_up_tables!$B$16:$M$89,12,FALSE)))))</f>
        <v/>
      </c>
      <c r="E25" s="5" t="str">
        <f>IF(OR(ISBLANK($A25),ISBLANK($B25),ISBLANK($B$6),ISBLANK($B$5),ISBLANK($B$7),$A25="Residential urban land",$A25="Commercial/industrial urban land",$A25="Open urban land",$A25="Greenspace",$A25="Community food growing",$A25="Woodland",$A25="Shrub",$A25="Water"),"",IF(ISNUMBER(IFERROR($B25*VLOOKUP((IF(OR($A25="Residential urban land",$A25="Commercial/industrial urban land",$A25="Open urban land",$A25="Greenspace",$A25="Community food growing",$A25="Woodland",$A25="Shrub",$A25="Water"),"|||"&amp;$A25,(VLOOKUP(Nutrients_from_current_land_use!$B$5,Value_look_up_tables!$A$127:$B$127,2,FALSE)&amp;"|"&amp;$A25&amp;"|"&amp;VLOOKUP(Nutrients_from_current_land_use!$B$8,Value_look_up_tables!$A$140:$B$141,2,FALSE)&amp;"|"&amp;VLOOKUP(Nutrients_from_current_land_use!$B$7, Value_look_up_tables!$A$101:$C$123,3,FALSE)&amp;"|"&amp;VLOOKUP($B$6,Value_look_up_tables!$A$131:$B$136,2,FALSE)))), Value_look_up_tables!$F$16:$H$89,3,FALSE),IFERROR($B25*VLOOKUP($A25&amp;"|"&amp;VLOOKUP(Nutrients_from_current_land_use!$B$8,Value_look_up_tables!$A$140:$B$141,2,FALSE)&amp;"|"&amp;VLOOKUP(Nutrients_from_current_land_use!$B$7,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6" spans="1:7" ht="37.5" customHeight="1" x14ac:dyDescent="0.35">
      <c r="A26" s="4"/>
      <c r="B26" s="16"/>
      <c r="C26" s="75"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$127:$B$127,2,FALSE)&amp;"|"&amp;$A26&amp;"|"&amp;VLOOKUP(Nutrients_from_current_land_use!$B$8,Value_look_up_tables!$A$140:$B$141,2,FALSE)&amp;"|"&amp;VLOOKUP(Nutrients_from_current_land_use!$B$7,Value_look_up_tables!$A$101:$C$123,3,FALSE)&amp;"|"&amp;VLOOKUP($B$6,Value_look_up_tables!$A$131:$B$136,2,FALSE)))),Value_look_up_tables!$F$16:$H$97,2,FALSE),
IFERROR(IFERROR($B26*VLOOKUP($A26&amp;"|"&amp;VLOOKUP(Nutrients_from_current_land_use!$B$8,Value_look_up_tables!$A$140:$B$141,2,FALSE)&amp;"|"&amp;VLOOKUP(Nutrients_from_current_land_use!$B$7,Value_look_up_tables!$A$101:$C$123,3,FALSE)&amp;"|"&amp;VLOOKUP($B$6,Value_look_up_tables!$A$131:$B$136,2,FALSE),Value_look_up_tables!$F$16:$H$97,2,FALSE),IFERROR($B26*VLOOKUP($A26&amp;"|"&amp;"TRUE"&amp;"|"&amp;VLOOKUP(Nutrients_from_current_land_use!$B$7,Value_look_up_tables!$A$101:$C$123,3,FALSE)&amp;"|"&amp;VLOOKUP($B$6,Value_look_up_tables!$A$131:$B$136,2,FALSE),Value_look_up_tables!$F$16:$H$97,2,FALSE),$B26*VLOOKUP($A26&amp;"|"&amp;VLOOKUP(Nutrients_from_current_land_use!$B$8,Value_look_up_tables!$A$140:$B$141,2,FALSE)&amp;"|"&amp;VLOOKUP(Nutrients_from_current_land_use!$B$7,Value_look_up_tables!$A$101:$C$123,3,FALSE)&amp;"|"&amp;"DrainedArGr",Value_look_up_tables!$F$16:$H$97,2,FALSE))),IFERROR($B26*VLOOKUP($A26&amp;"|"&amp;VLOOKUP(Nutrients_from_current_land_use!$B$7,Value_look_up_tables!$A$101:$C$123,3,FALSE),Value_look_up_tables!$I$16:$K$89,2,FALSE),$B26*VLOOKUP($A26,Value_look_up_tables!$B$16:$M$89,11,FALSE)))))</f>
        <v/>
      </c>
      <c r="D26" s="75"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$127:$B$127,2,FALSE)&amp;"|"&amp;$A26&amp;"|"&amp;VLOOKUP(Nutrients_from_current_land_use!$B$8,Value_look_up_tables!$A$140:$B$141,2,FALSE)&amp;"|"&amp;VLOOKUP(Nutrients_from_current_land_use!$B$7,Value_look_up_tables!$A$101:$C$123,3,FALSE)&amp;"|"&amp;VLOOKUP($B$6,Value_look_up_tables!$A$131:$B$136,2,FALSE)))),Value_look_up_tables!$F$16:$H$97,3,FALSE),
IFERROR(IFERROR($B26*VLOOKUP($A26&amp;"|"&amp;VLOOKUP(Nutrients_from_current_land_use!$B$8,Value_look_up_tables!$A$140:$B$141,2,FALSE)&amp;"|"&amp;VLOOKUP(Nutrients_from_current_land_use!$B$7,Value_look_up_tables!$A$101:$C$123,3,FALSE)&amp;"|"&amp;VLOOKUP($B$6,Value_look_up_tables!$A$131:$B$136,2,FALSE),Value_look_up_tables!$F$16:$H$97,3,FALSE),IFERROR($B26*VLOOKUP($A26&amp;"|"&amp;"TRUE"&amp;"|"&amp;VLOOKUP(Nutrients_from_current_land_use!$B$7,Value_look_up_tables!$A$101:$C$123,3,FALSE)&amp;"|"&amp;VLOOKUP($B$6,Value_look_up_tables!$A$131:$B$136,2,FALSE),Value_look_up_tables!$F$16:$H$97,3,FALSE),$B26*VLOOKUP($A26&amp;"|"&amp;VLOOKUP(Nutrients_from_current_land_use!$B$8,Value_look_up_tables!$A$140:$B$141,2,FALSE)&amp;"|"&amp;VLOOKUP(Nutrients_from_current_land_use!$B$7,Value_look_up_tables!$A$101:$C$123,3,FALSE)&amp;"|"&amp;"DrainedArGr",Value_look_up_tables!$F$16:$H$97,3,FALSE))),IFERROR($B26*VLOOKUP($A26&amp;"|"&amp;VLOOKUP(Nutrients_from_current_land_use!$B$7,Value_look_up_tables!$A$101:$C$123,3,FALSE),Value_look_up_tables!$I$16:$K$89,3,FALSE),$B26*VLOOKUP($A26,Value_look_up_tables!$B$16:$M$89,12,FALSE)))))</f>
        <v/>
      </c>
      <c r="E26" s="5" t="str">
        <f>IF(OR(ISBLANK($A26),ISBLANK($B26),ISBLANK($B$6),ISBLANK($B$5),ISBLANK($B$7),$A26="Residential urban land",$A26="Commercial/industrial urban land",$A26="Open urban land",$A26="Greenspace",$A26="Community food growing",$A26="Woodland",$A26="Shrub",$A26="Water"),"",IF(ISNUMBER(IFERROR($B26*VLOOKUP((IF(OR($A26="Residential urban land",$A26="Commercial/industrial urban land",$A26="Open urban land",$A26="Greenspace",$A26="Community food growing",$A26="Woodland",$A26="Shrub",$A26="Water"),"|||"&amp;$A26,(VLOOKUP(Nutrients_from_current_land_use!$B$5,Value_look_up_tables!$A$127:$B$127,2,FALSE)&amp;"|"&amp;$A26&amp;"|"&amp;VLOOKUP(Nutrients_from_current_land_use!$B$8,Value_look_up_tables!$A$140:$B$141,2,FALSE)&amp;"|"&amp;VLOOKUP(Nutrients_from_current_land_use!$B$7, Value_look_up_tables!$A$101:$C$123,3,FALSE)&amp;"|"&amp;VLOOKUP($B$6,Value_look_up_tables!$A$131:$B$136,2,FALSE)))), Value_look_up_tables!$F$16:$H$89,3,FALSE),IFERROR($B26*VLOOKUP($A26&amp;"|"&amp;VLOOKUP(Nutrients_from_current_land_use!$B$8,Value_look_up_tables!$A$140:$B$141,2,FALSE)&amp;"|"&amp;VLOOKUP(Nutrients_from_current_land_use!$B$7,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7" spans="1:7" ht="37.5" customHeight="1" x14ac:dyDescent="0.35">
      <c r="A27" s="4"/>
      <c r="B27" s="16"/>
      <c r="C27" s="75"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$127:$B$127,2,FALSE)&amp;"|"&amp;$A27&amp;"|"&amp;VLOOKUP(Nutrients_from_current_land_use!$B$8,Value_look_up_tables!$A$140:$B$141,2,FALSE)&amp;"|"&amp;VLOOKUP(Nutrients_from_current_land_use!$B$7,Value_look_up_tables!$A$101:$C$123,3,FALSE)&amp;"|"&amp;VLOOKUP($B$6,Value_look_up_tables!$A$131:$B$136,2,FALSE)))),Value_look_up_tables!$F$16:$H$97,2,FALSE),
IFERROR(IFERROR($B27*VLOOKUP($A27&amp;"|"&amp;VLOOKUP(Nutrients_from_current_land_use!$B$8,Value_look_up_tables!$A$140:$B$141,2,FALSE)&amp;"|"&amp;VLOOKUP(Nutrients_from_current_land_use!$B$7,Value_look_up_tables!$A$101:$C$123,3,FALSE)&amp;"|"&amp;VLOOKUP($B$6,Value_look_up_tables!$A$131:$B$136,2,FALSE),Value_look_up_tables!$F$16:$H$97,2,FALSE),IFERROR($B27*VLOOKUP($A27&amp;"|"&amp;"TRUE"&amp;"|"&amp;VLOOKUP(Nutrients_from_current_land_use!$B$7,Value_look_up_tables!$A$101:$C$123,3,FALSE)&amp;"|"&amp;VLOOKUP($B$6,Value_look_up_tables!$A$131:$B$136,2,FALSE),Value_look_up_tables!$F$16:$H$97,2,FALSE),$B27*VLOOKUP($A27&amp;"|"&amp;VLOOKUP(Nutrients_from_current_land_use!$B$8,Value_look_up_tables!$A$140:$B$141,2,FALSE)&amp;"|"&amp;VLOOKUP(Nutrients_from_current_land_use!$B$7,Value_look_up_tables!$A$101:$C$123,3,FALSE)&amp;"|"&amp;"DrainedArGr",Value_look_up_tables!$F$16:$H$97,2,FALSE))),IFERROR($B27*VLOOKUP($A27&amp;"|"&amp;VLOOKUP(Nutrients_from_current_land_use!$B$7,Value_look_up_tables!$A$101:$C$123,3,FALSE),Value_look_up_tables!$I$16:$K$89,2,FALSE),$B27*VLOOKUP($A27,Value_look_up_tables!$B$16:$M$89,11,FALSE)))))</f>
        <v/>
      </c>
      <c r="D27" s="75"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$127:$B$127,2,FALSE)&amp;"|"&amp;$A27&amp;"|"&amp;VLOOKUP(Nutrients_from_current_land_use!$B$8,Value_look_up_tables!$A$140:$B$141,2,FALSE)&amp;"|"&amp;VLOOKUP(Nutrients_from_current_land_use!$B$7,Value_look_up_tables!$A$101:$C$123,3,FALSE)&amp;"|"&amp;VLOOKUP($B$6,Value_look_up_tables!$A$131:$B$136,2,FALSE)))),Value_look_up_tables!$F$16:$H$97,3,FALSE),
IFERROR(IFERROR($B27*VLOOKUP($A27&amp;"|"&amp;VLOOKUP(Nutrients_from_current_land_use!$B$8,Value_look_up_tables!$A$140:$B$141,2,FALSE)&amp;"|"&amp;VLOOKUP(Nutrients_from_current_land_use!$B$7,Value_look_up_tables!$A$101:$C$123,3,FALSE)&amp;"|"&amp;VLOOKUP($B$6,Value_look_up_tables!$A$131:$B$136,2,FALSE),Value_look_up_tables!$F$16:$H$97,3,FALSE),IFERROR($B27*VLOOKUP($A27&amp;"|"&amp;"TRUE"&amp;"|"&amp;VLOOKUP(Nutrients_from_current_land_use!$B$7,Value_look_up_tables!$A$101:$C$123,3,FALSE)&amp;"|"&amp;VLOOKUP($B$6,Value_look_up_tables!$A$131:$B$136,2,FALSE),Value_look_up_tables!$F$16:$H$97,3,FALSE),$B27*VLOOKUP($A27&amp;"|"&amp;VLOOKUP(Nutrients_from_current_land_use!$B$8,Value_look_up_tables!$A$140:$B$141,2,FALSE)&amp;"|"&amp;VLOOKUP(Nutrients_from_current_land_use!$B$7,Value_look_up_tables!$A$101:$C$123,3,FALSE)&amp;"|"&amp;"DrainedArGr",Value_look_up_tables!$F$16:$H$97,3,FALSE))),IFERROR($B27*VLOOKUP($A27&amp;"|"&amp;VLOOKUP(Nutrients_from_current_land_use!$B$7,Value_look_up_tables!$A$101:$C$123,3,FALSE),Value_look_up_tables!$I$16:$K$89,3,FALSE),$B27*VLOOKUP($A27,Value_look_up_tables!$B$16:$M$89,12,FALSE)))))</f>
        <v/>
      </c>
      <c r="E27" s="5" t="str">
        <f>IF(OR(ISBLANK($A27),ISBLANK($B27),ISBLANK($B$6),ISBLANK($B$5),ISBLANK($B$7),$A27="Residential urban land",$A27="Commercial/industrial urban land",$A27="Open urban land",$A27="Greenspace",$A27="Community food growing",$A27="Woodland",$A27="Shrub",$A27="Water"),"",IF(ISNUMBER(IFERROR($B27*VLOOKUP((IF(OR($A27="Residential urban land",$A27="Commercial/industrial urban land",$A27="Open urban land",$A27="Greenspace",$A27="Community food growing",$A27="Woodland",$A27="Shrub",$A27="Water"),"|||"&amp;$A27,(VLOOKUP(Nutrients_from_current_land_use!$B$5,Value_look_up_tables!$A$127:$B$127,2,FALSE)&amp;"|"&amp;$A27&amp;"|"&amp;VLOOKUP(Nutrients_from_current_land_use!$B$8,Value_look_up_tables!$A$140:$B$141,2,FALSE)&amp;"|"&amp;VLOOKUP(Nutrients_from_current_land_use!$B$7, Value_look_up_tables!$A$101:$C$123,3,FALSE)&amp;"|"&amp;VLOOKUP($B$6,Value_look_up_tables!$A$131:$B$136,2,FALSE)))), Value_look_up_tables!$F$16:$H$89,3,FALSE),IFERROR($B27*VLOOKUP($A27&amp;"|"&amp;VLOOKUP(Nutrients_from_current_land_use!$B$8,Value_look_up_tables!$A$140:$B$141,2,FALSE)&amp;"|"&amp;VLOOKUP(Nutrients_from_current_land_use!$B$7, Value_look_up_tables!$A$101:$C$123,3,FALSE)&amp;"|"&amp;VLOOKUP($B$6,Value_look_up_tables!$A$131:$B$136,2,FALSE),Value_look_up_tables!$F$16:$H$89,3,FALSE),"In the absence of real world data, this figure has been generated using the most relevant average nutrient export coefficient."))),"","In the absence of real world data, this figure has been generated using the most relevant average nutrient export coefficient."))</f>
        <v/>
      </c>
    </row>
    <row r="28" spans="1:7" ht="24" customHeight="1" x14ac:dyDescent="0.35">
      <c r="A28" s="36" t="s">
        <v>98</v>
      </c>
      <c r="B28" s="17">
        <f>SUM(B11:B27)</f>
        <v>0</v>
      </c>
      <c r="C28" s="18">
        <f>SUM(C11:C27)</f>
        <v>0</v>
      </c>
      <c r="D28" s="18">
        <f>SUM(D11:D27)</f>
        <v>0</v>
      </c>
      <c r="E28" s="22"/>
    </row>
    <row r="30" spans="1:7" x14ac:dyDescent="0.35">
      <c r="G30" s="19"/>
    </row>
  </sheetData>
  <sheetProtection algorithmName="SHA-512" hashValue="6tvwzPEVdCk0d9qQeSIKCfna3ayau1jC4GcxmfWhES3xyaxQQMMfzRHUhRdoX+nVJsAMnFJooAeztTEKOpCyPA==" saltValue="iOKP+DqV1LNSzEhv/UM2ww==" spinCount="100000" sheet="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Value_look_up_tables!$A$127</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Value_look_up_tables!$A$109:$A$116</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Value_look_up_tables!$A$140:$A$141</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Value_look_up_tables!$A$131:$A$136</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Value_look_up_tables!$A$165:$A$180</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796875" defaultRowHeight="15.5" x14ac:dyDescent="0.35"/>
  <cols>
    <col min="1" max="1" width="69.81640625" style="92" customWidth="1"/>
    <col min="2" max="2" width="40.54296875" style="92" customWidth="1"/>
    <col min="3" max="3" width="24.7265625" style="92" customWidth="1"/>
    <col min="4" max="4" width="24.54296875" style="92" customWidth="1"/>
    <col min="5" max="474" width="8.54296875" style="92" customWidth="1"/>
    <col min="475" max="16384" width="9.1796875" style="92"/>
  </cols>
  <sheetData>
    <row r="1" spans="1:4" ht="36.75" customHeight="1" x14ac:dyDescent="0.35">
      <c r="A1" s="14" t="s">
        <v>15</v>
      </c>
      <c r="B1" s="46"/>
      <c r="C1" s="46"/>
      <c r="D1" s="46"/>
    </row>
    <row r="2" spans="1:4" ht="267" customHeight="1" x14ac:dyDescent="0.35">
      <c r="A2" s="29" t="s">
        <v>99</v>
      </c>
      <c r="B2" s="19"/>
      <c r="C2" s="46"/>
      <c r="D2" s="46"/>
    </row>
    <row r="3" spans="1:4" ht="49.5" customHeight="1" x14ac:dyDescent="0.35">
      <c r="A3" s="20" t="s">
        <v>100</v>
      </c>
      <c r="B3" s="93"/>
      <c r="C3" s="93"/>
      <c r="D3" s="93"/>
    </row>
    <row r="4" spans="1:4" ht="54" customHeight="1" x14ac:dyDescent="0.35">
      <c r="A4" s="30" t="s">
        <v>101</v>
      </c>
      <c r="B4" s="30" t="s">
        <v>94</v>
      </c>
      <c r="C4" s="30" t="s">
        <v>102</v>
      </c>
      <c r="D4" s="30" t="s">
        <v>103</v>
      </c>
    </row>
    <row r="5" spans="1:4" ht="23.25" customHeight="1" x14ac:dyDescent="0.35">
      <c r="A5" s="31"/>
      <c r="B5" s="16"/>
      <c r="C5" s="34" t="str">
        <f>IF(OR(ISBLANK(A5),ISBLANK(B5)),"",B5*VLOOKUP((IF(OR(A5="Residential urban land",A5="Commercial/industrial urban land",A5="Open urban land",A5="Greenspace",A5="Community food growing",A5="Woodland",A5="Shrub", A5="Water"), "|||"&amp;A5, (VLOOKUP(Nutrients_from_current_land_use!$B$5,Value_look_up_tables!$A$127:$B$127,2,FALSE)&amp;"|"&amp;A5&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5" s="34" t="str">
        <f>IF(OR(ISBLANK(A5),ISBLANK(B5)),"",B5*VLOOKUP((IF(OR(A5="Residential urban land",A5="Commercial/industrial urban land",A5="Open urban land",A5="Greenspace",A5="Community food growing",A5="Woodland",A5="Shrub", A5="Water"), "|||"&amp;A5, (VLOOKUP(Nutrients_from_current_land_use!$B$5,Value_look_up_tables!$A$127:$B$127,2,FALSE)&amp;"|"&amp;A5&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6" spans="1:4" ht="23.25" customHeight="1" x14ac:dyDescent="0.35">
      <c r="A6" s="1"/>
      <c r="B6" s="15"/>
      <c r="C6" s="33" t="str">
        <f>IF(OR(ISBLANK(A6),ISBLANK(B6)),"",B6*VLOOKUP((IF(OR(A6="Residential urban land",A6="Commercial/industrial urban land",A6="Open urban land",A6="Greenspace",A6="Community food growing",A6="Woodland",A6="Shrub", A6="Water"), "|||"&amp;A6, (VLOOKUP(Nutrients_from_current_land_use!$B$5,Value_look_up_tables!$A$127:$B$127,2,FALSE)&amp;"|"&amp;A6&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6" s="33" t="str">
        <f>IF(OR(ISBLANK(A6),ISBLANK(B6)),"",B6*VLOOKUP((IF(OR(A6="Residential urban land",A6="Commercial/industrial urban land",A6="Open urban land",A6="Greenspace",A6="Community food growing",A6="Woodland",A6="Shrub", A6="Water"), "|||"&amp;A6, (VLOOKUP(Nutrients_from_current_land_use!$B$5,Value_look_up_tables!$A$127:$B$127,2,FALSE)&amp;"|"&amp;A6&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7" spans="1:4" ht="23.25" customHeight="1" x14ac:dyDescent="0.35">
      <c r="A7" s="1"/>
      <c r="B7" s="15"/>
      <c r="C7" s="33" t="str">
        <f>IF(OR(ISBLANK(A7),ISBLANK(B7)),"",B7*VLOOKUP((IF(OR(A7="Residential urban land",A7="Commercial/industrial urban land",A7="Open urban land",A7="Greenspace",A7="Community food growing",A7="Woodland",A7="Shrub", A7="Water"), "|||"&amp;A7, (VLOOKUP(Nutrients_from_current_land_use!$B$5,Value_look_up_tables!$A$127:$B$127,2,FALSE)&amp;"|"&amp;A7&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7" s="33" t="str">
        <f>IF(OR(ISBLANK(A7),ISBLANK(B7)),"",B7*VLOOKUP((IF(OR(A7="Residential urban land",A7="Commercial/industrial urban land",A7="Open urban land",A7="Greenspace",A7="Community food growing",A7="Woodland",A7="Shrub", A7="Water"), "|||"&amp;A7, (VLOOKUP(Nutrients_from_current_land_use!$B$5,Value_look_up_tables!$A$127:$B$127,2,FALSE)&amp;"|"&amp;A7&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8" spans="1:4" ht="23.25" customHeight="1" x14ac:dyDescent="0.35">
      <c r="A8" s="1"/>
      <c r="B8" s="15"/>
      <c r="C8" s="33" t="str">
        <f>IF(OR(ISBLANK(A8),ISBLANK(B8)),"",B8*VLOOKUP((IF(OR(A8="Residential urban land",A8="Commercial/industrial urban land",A8="Open urban land",A8="Greenspace",A8="Community food growing",A8="Woodland",A8="Shrub", A8="Water"), "|||"&amp;A8, (VLOOKUP(Nutrients_from_current_land_use!$B$5,Value_look_up_tables!$A$127:$B$127,2,FALSE)&amp;"|"&amp;A8&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8" s="33" t="str">
        <f>IF(OR(ISBLANK(A8),ISBLANK(B8)),"",B8*VLOOKUP((IF(OR(A8="Residential urban land",A8="Commercial/industrial urban land",A8="Open urban land",A8="Greenspace",A8="Community food growing",A8="Woodland",A8="Shrub", A8="Water"), "|||"&amp;A8, (VLOOKUP(Nutrients_from_current_land_use!$B$5,Value_look_up_tables!$A$127:$B$127,2,FALSE)&amp;"|"&amp;A8&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9" spans="1:4" ht="23.25" customHeight="1" x14ac:dyDescent="0.35">
      <c r="A9" s="1"/>
      <c r="B9" s="15"/>
      <c r="C9" s="33" t="str">
        <f>IF(OR(ISBLANK(A9),ISBLANK(B9)),"",B9*VLOOKUP((IF(OR(A9="Residential urban land",A9="Commercial/industrial urban land",A9="Open urban land",A9="Greenspace",A9="Community food growing",A9="Woodland",A9="Shrub", A9="Water"), "|||"&amp;A9, (VLOOKUP(Nutrients_from_current_land_use!$B$5,Value_look_up_tables!$A$127:$B$127,2,FALSE)&amp;"|"&amp;A9&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9" s="33" t="str">
        <f>IF(OR(ISBLANK(A9),ISBLANK(B9)),"",B9*VLOOKUP((IF(OR(A9="Residential urban land",A9="Commercial/industrial urban land",A9="Open urban land",A9="Greenspace",A9="Community food growing",A9="Woodland",A9="Shrub", A9="Water"), "|||"&amp;A9, (VLOOKUP(Nutrients_from_current_land_use!$B$5,Value_look_up_tables!$A$127:$B$127,2,FALSE)&amp;"|"&amp;A9&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0" spans="1:4" ht="23.25" customHeight="1" x14ac:dyDescent="0.35">
      <c r="A10" s="1"/>
      <c r="B10" s="15"/>
      <c r="C10" s="33" t="str">
        <f>IF(OR(ISBLANK(A10),ISBLANK(B10)),"",B10*VLOOKUP((IF(OR(A10="Residential urban land",A10="Commercial/industrial urban land",A10="Open urban land",A10="Greenspace",A10="Community food growing",A10="Woodland",A10="Shrub", A10="Water"), "|||"&amp;A10, (VLOOKUP(Nutrients_from_current_land_use!$B$5,Value_look_up_tables!$A$127:$B$127,2,FALSE)&amp;"|"&amp;A10&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0" s="33" t="str">
        <f>IF(OR(ISBLANK(A10),ISBLANK(B10)),"",B10*VLOOKUP((IF(OR(A10="Residential urban land",A10="Commercial/industrial urban land",A10="Open urban land",A10="Greenspace",A10="Community food growing",A10="Woodland",A10="Shrub", A10="Water"), "|||"&amp;A10, (VLOOKUP(Nutrients_from_current_land_use!$B$5,Value_look_up_tables!$A$127:$B$127,2,FALSE)&amp;"|"&amp;A10&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1" spans="1:4" ht="23.25" customHeight="1" x14ac:dyDescent="0.35">
      <c r="A11" s="1"/>
      <c r="B11" s="15"/>
      <c r="C11" s="33" t="str">
        <f>IF(OR(ISBLANK(A11),ISBLANK(B11)),"",B11*VLOOKUP((IF(OR(A11="Residential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1" s="33" t="str">
        <f>IF(OR(ISBLANK(A11),ISBLANK(B11)),"",B11*VLOOKUP((IF(OR(A11="Residential urban land",A11="Commercial/industrial urban land",A11="Open urban land",A11="Greenspace",A11="Community food growing",A11="Woodland",A11="Shrub", A11="Water"), "|||"&amp;A11, (VLOOKUP(Nutrients_from_current_land_use!$B$5,Value_look_up_tables!$A$127:$B$127,2,FALSE)&amp;"|"&amp;A11&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2" spans="1:4" ht="23.25" customHeight="1" x14ac:dyDescent="0.35">
      <c r="A12" s="1"/>
      <c r="B12" s="15"/>
      <c r="C12" s="33" t="str">
        <f>IF(OR(ISBLANK(A12),ISBLANK(B12)),"",B12*VLOOKUP((IF(OR(A12="Residential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2" s="33" t="str">
        <f>IF(OR(ISBLANK(A12),ISBLANK(B12)),"",B12*VLOOKUP((IF(OR(A12="Residential urban land",A12="Commercial/industrial urban land",A12="Open urban land",A12="Greenspace",A12="Community food growing",A12="Woodland",A12="Shrub", A12="Water"), "|||"&amp;A12, (VLOOKUP(Nutrients_from_current_land_use!$B$5,Value_look_up_tables!$A$127:$B$127,2,FALSE)&amp;"|"&amp;A12&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3" spans="1:4" ht="23.25" customHeight="1" x14ac:dyDescent="0.35">
      <c r="A13" s="1"/>
      <c r="B13" s="15"/>
      <c r="C13" s="33" t="str">
        <f>IF(OR(ISBLANK(A13),ISBLANK(B13)),"",B13*VLOOKUP((IF(OR(A13="Residential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3" s="33" t="str">
        <f>IF(OR(ISBLANK(A13),ISBLANK(B13)),"",B13*VLOOKUP((IF(OR(A13="Residential urban land",A13="Commercial/industrial urban land",A13="Open urban land",A13="Greenspace",A13="Community food growing",A13="Woodland",A13="Shrub", A13="Water"), "|||"&amp;A13, (VLOOKUP(Nutrients_from_current_land_use!$B$5,Value_look_up_tables!$A$127:$B$127,2,FALSE)&amp;"|"&amp;A13&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4" spans="1:4" ht="23.25" customHeight="1" x14ac:dyDescent="0.35">
      <c r="A14" s="1"/>
      <c r="B14" s="15"/>
      <c r="C14" s="33" t="str">
        <f>IF(OR(ISBLANK(A14),ISBLANK(B14)),"",B14*VLOOKUP((IF(OR(A14="Residential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4" s="33" t="str">
        <f>IF(OR(ISBLANK(A14),ISBLANK(B14)),"",B14*VLOOKUP((IF(OR(A14="Residential urban land",A14="Commercial/industrial urban land",A14="Open urban land",A14="Greenspace",A14="Community food growing",A14="Woodland",A14="Shrub", A14="Water"), "|||"&amp;A14, (VLOOKUP(Nutrients_from_current_land_use!$B$5,Value_look_up_tables!$A$127:$B$127,2,FALSE)&amp;"|"&amp;A14&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5" spans="1:4" ht="23.25" customHeight="1" x14ac:dyDescent="0.35">
      <c r="A15" s="1"/>
      <c r="B15" s="15"/>
      <c r="C15" s="33" t="str">
        <f>IF(OR(ISBLANK(A15),ISBLANK(B15)),"",B15*VLOOKUP((IF(OR(A15="Residential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5" s="33" t="str">
        <f>IF(OR(ISBLANK(A15),ISBLANK(B15)),"",B15*VLOOKUP((IF(OR(A15="Residential urban land",A15="Commercial/industrial urban land",A15="Open urban land",A15="Greenspace",A15="Community food growing",A15="Woodland",A15="Shrub", A15="Water"), "|||"&amp;A15, (VLOOKUP(Nutrients_from_current_land_use!$B$5,Value_look_up_tables!$A$127:$B$127,2,FALSE)&amp;"|"&amp;A15&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6" spans="1:4" ht="23.25" customHeight="1" x14ac:dyDescent="0.35">
      <c r="A16" s="1"/>
      <c r="B16" s="15"/>
      <c r="C16" s="33" t="str">
        <f>IF(OR(ISBLANK(A16),ISBLANK(B16)),"",B16*VLOOKUP((IF(OR(A16="Residential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6" s="33" t="str">
        <f>IF(OR(ISBLANK(A16),ISBLANK(B16)),"",B16*VLOOKUP((IF(OR(A16="Residential urban land",A16="Commercial/industrial urban land",A16="Open urban land",A16="Greenspace",A16="Community food growing",A16="Woodland",A16="Shrub", A16="Water"), "|||"&amp;A16, (VLOOKUP(Nutrients_from_current_land_use!$B$5,Value_look_up_tables!$A$127:$B$127,2,FALSE)&amp;"|"&amp;A16&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7" spans="1:6" ht="23.25" customHeight="1" x14ac:dyDescent="0.35">
      <c r="A17" s="1"/>
      <c r="B17" s="15"/>
      <c r="C17" s="33" t="str">
        <f>IF(OR(ISBLANK(A17),ISBLANK(B17)),"",B17*VLOOKUP((IF(OR(A17="Residential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7" s="33" t="str">
        <f>IF(OR(ISBLANK(A17),ISBLANK(B17)),"",B17*VLOOKUP((IF(OR(A17="Residential urban land",A17="Commercial/industrial urban land",A17="Open urban land",A17="Greenspace",A17="Community food growing",A17="Woodland",A17="Shrub", A17="Water"), "|||"&amp;A17, (VLOOKUP(Nutrients_from_current_land_use!$B$5,Value_look_up_tables!$A$127:$B$127,2,FALSE)&amp;"|"&amp;A17&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8" spans="1:6" ht="23.25" customHeight="1" x14ac:dyDescent="0.35">
      <c r="A18" s="1"/>
      <c r="B18" s="15"/>
      <c r="C18" s="33" t="str">
        <f>IF(OR(ISBLANK(A18),ISBLANK(B18)),"",B18*VLOOKUP((IF(OR(A18="Residential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8" s="33" t="str">
        <f>IF(OR(ISBLANK(A18),ISBLANK(B18)),"",B18*VLOOKUP((IF(OR(A18="Residential urban land",A18="Commercial/industrial urban land",A18="Open urban land",A18="Greenspace",A18="Community food growing",A18="Woodland",A18="Shrub", A18="Water"), "|||"&amp;A18, (VLOOKUP(Nutrients_from_current_land_use!$B$5,Value_look_up_tables!$A$127:$B$127,2,FALSE)&amp;"|"&amp;A18&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19" spans="1:6" ht="23.25" customHeight="1" x14ac:dyDescent="0.35">
      <c r="A19" s="1"/>
      <c r="B19" s="15"/>
      <c r="C19" s="33" t="str">
        <f>IF(OR(ISBLANK(A19),ISBLANK(B19)),"",B19*VLOOKUP((IF(OR(A19="Residential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19" s="33" t="str">
        <f>IF(OR(ISBLANK(A19),ISBLANK(B19)),"",B19*VLOOKUP((IF(OR(A19="Residential urban land",A19="Commercial/industrial urban land",A19="Open urban land",A19="Greenspace",A19="Community food growing",A19="Woodland",A19="Shrub", A19="Water"), "|||"&amp;A19, (VLOOKUP(Nutrients_from_current_land_use!$B$5,Value_look_up_tables!$A$127:$B$127,2,FALSE)&amp;"|"&amp;A19&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20" spans="1:6" ht="23.25" customHeight="1" x14ac:dyDescent="0.35">
      <c r="A20" s="1"/>
      <c r="B20" s="15"/>
      <c r="C20" s="33" t="str">
        <f>IF(OR(ISBLANK(A20),ISBLANK(B20)),"",B20*VLOOKUP((IF(OR(A20="Residential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20" s="33" t="str">
        <f>IF(OR(ISBLANK(A20),ISBLANK(B20)),"",B20*VLOOKUP((IF(OR(A20="Residential urban land",A20="Commercial/industrial urban land",A20="Open urban land",A20="Greenspace",A20="Community food growing",A20="Woodland",A20="Shrub", A20="Water"), "|||"&amp;A20, (VLOOKUP(Nutrients_from_current_land_use!$B$5,Value_look_up_tables!$A$127:$B$127,2,FALSE)&amp;"|"&amp;A20&amp;"|"&amp;VLOOKUP(Nutrients_from_current_land_use!$C$8,Value_look_up_tables!$A$140:$B$141,2,FALSE)&amp;"|"&amp;VLOOKUP(Nutrients_from_current_land_use!$C$7,Value_look_up_tables!$A$101:$C$123,3,FALSE)&amp;"|"&amp;VLOOKUP(Nutrients_from_current_land_use!$B$6,Value_look_up_tables!$A$131:$B$136,2,FALSE)))),Value_look_up_tables!$F$16:$H$97,3,FALSE))</f>
        <v/>
      </c>
      <c r="F20" s="93"/>
    </row>
    <row r="21" spans="1:6" ht="23.25" customHeight="1" x14ac:dyDescent="0.35">
      <c r="A21" s="1"/>
      <c r="B21" s="15"/>
      <c r="C21" s="33" t="str">
        <f>IF(OR(ISBLANK(A21),ISBLANK(B21)),"",B21*VLOOKUP((IF(OR(A21="Residential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C$8,Value_look_up_tables!$A$140:$B$141,2,FALSE)&amp;"|"&amp;VLOOKUP(Nutrients_from_current_land_use!$C$7,Value_look_up_tables!$A$101:$C$123,3,FALSE)&amp;"|"&amp;VLOOKUP(Nutrients_from_current_land_use!$B$6,Value_look_up_tables!$A$131:$B$136,2,FALSE)))),Value_look_up_tables!$F$16:$H$97,2,FALSE))</f>
        <v/>
      </c>
      <c r="D21" s="33" t="str">
        <f>IF(OR(ISBLANK(A21),ISBLANK(B21)),"",B21*VLOOKUP((IF(OR(A21="Residential urban land",A21="Commercial/industrial urban land",A21="Open urban land",A21="Greenspace",A21="Community food growing",A21="Woodland",A21="Shrub", A21="Water"), "|||"&amp;A21, (VLOOKUP(Nutrients_from_current_land_use!$B$5,Value_look_up_tables!$A$127:$B$127,2,FALSE)&amp;"|"&amp;A21&amp;"|"&amp;VLOOKUP(Nutrients_from_current_land_use!$C$8,Value_look_up_tables!$A$140:$B$141,2,FALSE)&amp;"|"&amp;VLOOKUP(Nutrients_from_current_land_use!$C$7,Value_look_up_tables!$A$101:$C$123,3,FALSE)&amp;"|"&amp;VLOOKUP(Nutrients_from_current_land_use!$B$6,Value_look_up_tables!$A$131:$B$136,2,FALSE)))),Value_look_up_tables!$F$16:$H$97,3,FALSE))</f>
        <v/>
      </c>
    </row>
    <row r="22" spans="1:6" ht="23.25" customHeight="1" x14ac:dyDescent="0.35">
      <c r="A22" s="10" t="s">
        <v>98</v>
      </c>
      <c r="B22" s="35">
        <f>SUM(B5:B21)</f>
        <v>0</v>
      </c>
      <c r="C22" s="33">
        <f>SUM(C5:C21)</f>
        <v>0</v>
      </c>
      <c r="D22" s="33">
        <f>SUM(D5:D21)</f>
        <v>0</v>
      </c>
    </row>
  </sheetData>
  <sheetProtection algorithmName="SHA-512" hashValue="v0da/zBr1WxJDpjnvvrG3B3A5JEfqEJLU3xC8dvEj6OjSBTOs6AKRCGEXTV+eg+C99tm1+G3XLrA8nrkDK0mcw==" saltValue="3nbIppIsUtVQe3v3glSaeg=="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Value_look_up_tables!$A$154:$A$161</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29"/>
  <sheetViews>
    <sheetView zoomScaleNormal="100" workbookViewId="0"/>
  </sheetViews>
  <sheetFormatPr defaultColWidth="9.1796875" defaultRowHeight="15.5" x14ac:dyDescent="0.35"/>
  <cols>
    <col min="1" max="1" width="134.453125" style="3" customWidth="1"/>
    <col min="2" max="3" width="19.81640625" style="3" customWidth="1"/>
    <col min="4" max="4" width="24.81640625" style="3" customWidth="1"/>
    <col min="5" max="5" width="19.54296875" style="3" customWidth="1"/>
    <col min="6" max="6" width="60.81640625" style="3" customWidth="1"/>
    <col min="7" max="7" width="21.81640625" style="3" customWidth="1"/>
    <col min="8" max="8" width="23" style="3" customWidth="1"/>
    <col min="9" max="10" width="23.7265625" style="3" customWidth="1"/>
    <col min="11" max="11" width="50.7265625" style="3" customWidth="1"/>
    <col min="12" max="474" width="8.54296875" style="3" customWidth="1"/>
    <col min="475" max="16384" width="9.1796875" style="3"/>
  </cols>
  <sheetData>
    <row r="1" spans="1:14" ht="67.5" customHeight="1" x14ac:dyDescent="0.35">
      <c r="A1" s="14" t="s">
        <v>104</v>
      </c>
      <c r="B1" s="46"/>
      <c r="C1" s="46"/>
      <c r="D1" s="46"/>
      <c r="E1" s="46"/>
    </row>
    <row r="2" spans="1:14" ht="409.6" customHeight="1" x14ac:dyDescent="0.35">
      <c r="A2" s="2" t="s">
        <v>105</v>
      </c>
      <c r="B2" s="19"/>
      <c r="C2" s="19"/>
      <c r="D2" s="19"/>
      <c r="E2" s="19"/>
    </row>
    <row r="3" spans="1:14" ht="97.5" customHeight="1" x14ac:dyDescent="0.35">
      <c r="A3" s="62" t="s">
        <v>106</v>
      </c>
      <c r="B3" s="62" t="s">
        <v>107</v>
      </c>
      <c r="C3" s="62" t="s">
        <v>108</v>
      </c>
      <c r="D3" s="62" t="s">
        <v>109</v>
      </c>
      <c r="E3" s="62" t="s">
        <v>110</v>
      </c>
      <c r="F3" s="62" t="s">
        <v>111</v>
      </c>
      <c r="G3" s="62" t="s">
        <v>112</v>
      </c>
      <c r="H3" s="62" t="s">
        <v>113</v>
      </c>
      <c r="I3" s="62" t="s">
        <v>114</v>
      </c>
      <c r="J3" s="62" t="s">
        <v>115</v>
      </c>
      <c r="K3" s="66" t="s">
        <v>97</v>
      </c>
    </row>
    <row r="4" spans="1:14" ht="28.5" customHeight="1" x14ac:dyDescent="0.35">
      <c r="A4" s="67"/>
      <c r="B4" s="16"/>
      <c r="C4" s="63"/>
      <c r="D4" s="34" t="str">
        <f>IFERROR(IF(ISBLANK(A4),"",IF(ISBLANK(B4),"",VLOOKUP(A4,Nutrients_from_future_land_use!$A$5:$D$21,3,FALSE)*(B4/VLOOKUP(A4,Nutrients_from_future_land_use!$A$5:$D$21,2,FALSE)))),"")</f>
        <v/>
      </c>
      <c r="E4" s="34" t="str">
        <f>IFERROR(IF(ISBLANK(A4),"",IF(ISBLANK(B4),"",VLOOKUP(A4,Nutrients_from_future_land_use!$A$5:$D$21,4,FALSE)*(B4/VLOOKUP(A4,Nutrients_from_future_land_use!$A$5:$D$21,2,FALSE)))),"")</f>
        <v/>
      </c>
      <c r="F4" s="63"/>
      <c r="G4" s="63">
        <v>50</v>
      </c>
      <c r="H4" s="63">
        <v>50</v>
      </c>
      <c r="I4" s="34" t="str">
        <f>IFERROR(IF(OR(ISBLANK($A4),ISBLANK($B4),ISBLANK($G4)),"",$C4/100*D4*G4/100),"")</f>
        <v/>
      </c>
      <c r="J4" s="34" t="str">
        <f>IFERROR(IF(OR(ISBLANK($A4),ISBLANK($B4),ISBLANK($H4)),"",$C4/100*E4*H4/100),"")</f>
        <v/>
      </c>
      <c r="K4" s="3" t="str">
        <f>IF(SUMIFS($B$4:$B$28,$A$4:$A$28,A4)&gt;SUMIFS(Nutrients_from_future_land_use!$B$5:$B$21,Nutrients_from_future_land_use!$A$5:$A$21,A4),"Area of new land covers within SuDS catchment area exceeds the area of new land covers proposed","")</f>
        <v/>
      </c>
    </row>
    <row r="5" spans="1:14" ht="28.5" customHeight="1" x14ac:dyDescent="0.35">
      <c r="A5" s="68"/>
      <c r="B5" s="15"/>
      <c r="C5" s="63"/>
      <c r="D5" s="34" t="str">
        <f>IFERROR(IF(ISBLANK(A5),"",IF(ISBLANK(B5),"",VLOOKUP(A5,Nutrients_from_future_land_use!$A$5:$D$21,3,FALSE)*(B5/VLOOKUP(A5,Nutrients_from_future_land_use!$A$5:$D$21,2,FALSE)))),"")</f>
        <v/>
      </c>
      <c r="E5" s="34" t="str">
        <f>IFERROR(IF(ISBLANK(A5),"",IF(ISBLANK(B5),"",VLOOKUP(A5,Nutrients_from_future_land_use!$A$5:$D$21,4,FALSE)*(B5/VLOOKUP(A5,Nutrients_from_future_land_use!$A$5:$D$21,2,FALSE)))),"")</f>
        <v/>
      </c>
      <c r="F5" s="63"/>
      <c r="G5" s="63"/>
      <c r="H5" s="63"/>
      <c r="I5" s="34" t="str">
        <f t="shared" ref="I5:I28" si="0">IFERROR(IF(OR(ISBLANK($A5),ISBLANK($B5),ISBLANK($G5)),"",$C5/100*D5*G5/100),"")</f>
        <v/>
      </c>
      <c r="J5" s="34" t="str">
        <f t="shared" ref="J5:J28" si="1">IFERROR(IF(OR(ISBLANK($A5),ISBLANK($B5),ISBLANK($H5)),"",$C5/100*E5*H5/100),"")</f>
        <v/>
      </c>
      <c r="K5" s="3" t="str">
        <f>IF(SUMIFS($B$4:$B$28,$A$4:$A$28,A5)&gt;SUMIFS(Nutrients_from_future_land_use!$B$5:$B$21,Nutrients_from_future_land_use!$A$5:$A$21,A5),"Area of new land covers within SuDS catchment area exceeds the area of new land covers proposed","")</f>
        <v/>
      </c>
    </row>
    <row r="6" spans="1:14" ht="28.5" customHeight="1" x14ac:dyDescent="0.35">
      <c r="A6" s="68"/>
      <c r="B6" s="15"/>
      <c r="C6" s="63"/>
      <c r="D6" s="34" t="str">
        <f>IFERROR(IF(ISBLANK(A6),"",IF(ISBLANK(B6),"",VLOOKUP(A6,Nutrients_from_future_land_use!$A$5:$D$21,3,FALSE)*(B6/VLOOKUP(A6,Nutrients_from_future_land_use!$A$5:$D$21,2,FALSE)))),"")</f>
        <v/>
      </c>
      <c r="E6" s="34" t="str">
        <f>IFERROR(IF(ISBLANK(A6),"",IF(ISBLANK(B6),"",VLOOKUP(A6,Nutrients_from_future_land_use!$A$5:$D$21,4,FALSE)*(B6/VLOOKUP(A6,Nutrients_from_future_land_use!$A$5:$D$21,2,FALSE)))),"")</f>
        <v/>
      </c>
      <c r="F6" s="63"/>
      <c r="G6" s="63"/>
      <c r="H6" s="63"/>
      <c r="I6" s="34" t="str">
        <f t="shared" si="0"/>
        <v/>
      </c>
      <c r="J6" s="34" t="str">
        <f t="shared" si="1"/>
        <v/>
      </c>
      <c r="K6" s="3" t="str">
        <f>IF(SUMIFS($B$4:$B$28,$A$4:$A$28,A6)&gt;SUMIFS(Nutrients_from_future_land_use!$B$5:$B$21,Nutrients_from_future_land_use!$A$5:$A$21,A6),"Area of new land covers within SuDS catchment area exceeds the area of new land covers proposed","")</f>
        <v/>
      </c>
    </row>
    <row r="7" spans="1:14" ht="28.5" customHeight="1" x14ac:dyDescent="0.35">
      <c r="A7" s="68"/>
      <c r="B7" s="15"/>
      <c r="C7" s="63"/>
      <c r="D7" s="34" t="str">
        <f>IFERROR(IF(ISBLANK(A7),"",IF(ISBLANK(B7),"",VLOOKUP(A7,Nutrients_from_future_land_use!$A$5:$D$21,3,FALSE)*(B7/VLOOKUP(A7,Nutrients_from_future_land_use!$A$5:$D$21,2,FALSE)))),"")</f>
        <v/>
      </c>
      <c r="E7" s="34" t="str">
        <f>IFERROR(IF(ISBLANK(A7),"",IF(ISBLANK(B7),"",VLOOKUP(A7,Nutrients_from_future_land_use!$A$5:$D$21,4,FALSE)*(B7/VLOOKUP(A7,Nutrients_from_future_land_use!$A$5:$D$21,2,FALSE)))),"")</f>
        <v/>
      </c>
      <c r="F7" s="63"/>
      <c r="G7" s="63"/>
      <c r="H7" s="63"/>
      <c r="I7" s="34" t="str">
        <f t="shared" si="0"/>
        <v/>
      </c>
      <c r="J7" s="34" t="str">
        <f t="shared" si="1"/>
        <v/>
      </c>
      <c r="K7" s="3" t="str">
        <f>IF(SUMIFS($B$4:$B$28,$A$4:$A$28,A7)&gt;SUMIFS(Nutrients_from_future_land_use!$B$5:$B$21,Nutrients_from_future_land_use!$A$5:$A$21,A7),"Area of new land covers within SuDS catchment area exceeds the area of new land covers proposed","")</f>
        <v/>
      </c>
    </row>
    <row r="8" spans="1:14" ht="28.5" customHeight="1" x14ac:dyDescent="0.35">
      <c r="A8" s="68"/>
      <c r="B8" s="15"/>
      <c r="C8" s="63"/>
      <c r="D8" s="34" t="str">
        <f>IFERROR(IF(ISBLANK(A8),"",IF(ISBLANK(B8),"",VLOOKUP(A8,Nutrients_from_future_land_use!$A$5:$D$21,3,FALSE)*(B8/VLOOKUP(A8,Nutrients_from_future_land_use!$A$5:$D$21,2,FALSE)))),"")</f>
        <v/>
      </c>
      <c r="E8" s="34" t="str">
        <f>IFERROR(IF(ISBLANK(A8),"",IF(ISBLANK(B8),"",VLOOKUP(A8,Nutrients_from_future_land_use!$A$5:$D$21,4,FALSE)*(B8/VLOOKUP(A8,Nutrients_from_future_land_use!$A$5:$D$21,2,FALSE)))),"")</f>
        <v/>
      </c>
      <c r="F8" s="63"/>
      <c r="G8" s="63"/>
      <c r="H8" s="63"/>
      <c r="I8" s="34" t="str">
        <f t="shared" si="0"/>
        <v/>
      </c>
      <c r="J8" s="34" t="str">
        <f t="shared" si="1"/>
        <v/>
      </c>
      <c r="K8" s="3" t="str">
        <f>IF(SUMIFS($B$4:$B$28,$A$4:$A$28,A8)&gt;SUMIFS(Nutrients_from_future_land_use!$B$5:$B$21,Nutrients_from_future_land_use!$A$5:$A$21,A8),"Area of new land covers within SuDS catchment area exceeds the area of new land covers proposed","")</f>
        <v/>
      </c>
      <c r="N8" s="94"/>
    </row>
    <row r="9" spans="1:14" ht="28.5" customHeight="1" x14ac:dyDescent="0.35">
      <c r="A9" s="68"/>
      <c r="B9" s="15"/>
      <c r="C9" s="63"/>
      <c r="D9" s="34" t="str">
        <f>IFERROR(IF(ISBLANK(A9),"",IF(ISBLANK(B9),"",VLOOKUP(A9,Nutrients_from_future_land_use!$A$5:$D$21,3,FALSE)*(B9/VLOOKUP(A9,Nutrients_from_future_land_use!$A$5:$D$21,2,FALSE)))),"")</f>
        <v/>
      </c>
      <c r="E9" s="34" t="str">
        <f>IFERROR(IF(ISBLANK(A9),"",IF(ISBLANK(B9),"",VLOOKUP(A9,Nutrients_from_future_land_use!$A$5:$D$21,4,FALSE)*(B9/VLOOKUP(A9,Nutrients_from_future_land_use!$A$5:$D$21,2,FALSE)))),"")</f>
        <v/>
      </c>
      <c r="F9" s="63"/>
      <c r="G9" s="63"/>
      <c r="H9" s="63"/>
      <c r="I9" s="34" t="str">
        <f t="shared" si="0"/>
        <v/>
      </c>
      <c r="J9" s="34" t="str">
        <f t="shared" si="1"/>
        <v/>
      </c>
      <c r="K9" s="3" t="str">
        <f>IF(SUMIFS($B$4:$B$28,$A$4:$A$28,A9)&gt;SUMIFS(Nutrients_from_future_land_use!$B$5:$B$21,Nutrients_from_future_land_use!$A$5:$A$21,A9),"Area of new land covers within SuDS catchment area exceeds the area of new land covers proposed","")</f>
        <v/>
      </c>
      <c r="N9" s="94"/>
    </row>
    <row r="10" spans="1:14" ht="28.5" customHeight="1" x14ac:dyDescent="0.35">
      <c r="A10" s="68"/>
      <c r="B10" s="15"/>
      <c r="C10" s="63"/>
      <c r="D10" s="34" t="str">
        <f>IFERROR(IF(ISBLANK(A10),"",IF(ISBLANK(B10),"",VLOOKUP(A10,Nutrients_from_future_land_use!$A$5:$D$21,3,FALSE)*(B10/VLOOKUP(A10,Nutrients_from_future_land_use!$A$5:$D$21,2,FALSE)))),"")</f>
        <v/>
      </c>
      <c r="E10" s="34" t="str">
        <f>IFERROR(IF(ISBLANK(A10),"",IF(ISBLANK(B10),"",VLOOKUP(A10,Nutrients_from_future_land_use!$A$5:$D$21,4,FALSE)*(B10/VLOOKUP(A10,Nutrients_from_future_land_use!$A$5:$D$21,2,FALSE)))),"")</f>
        <v/>
      </c>
      <c r="F10" s="63"/>
      <c r="G10" s="63"/>
      <c r="H10" s="63"/>
      <c r="I10" s="34" t="str">
        <f t="shared" si="0"/>
        <v/>
      </c>
      <c r="J10" s="34" t="str">
        <f t="shared" si="1"/>
        <v/>
      </c>
      <c r="K10" s="3" t="str">
        <f>IF(SUMIFS($B$4:$B$28,$A$4:$A$28,A10)&gt;SUMIFS(Nutrients_from_future_land_use!$B$5:$B$21,Nutrients_from_future_land_use!$A$5:$A$21,A10),"Area of new land covers within SuDS catchment area exceeds the area of new land covers proposed","")</f>
        <v/>
      </c>
      <c r="N10" s="94"/>
    </row>
    <row r="11" spans="1:14" ht="28.5" customHeight="1" x14ac:dyDescent="0.35">
      <c r="A11" s="68"/>
      <c r="B11" s="15"/>
      <c r="C11" s="63"/>
      <c r="D11" s="34" t="str">
        <f>IFERROR(IF(ISBLANK(A11),"",IF(ISBLANK(B11),"",VLOOKUP(A11,Nutrients_from_future_land_use!$A$5:$D$21,3,FALSE)*(B11/VLOOKUP(A11,Nutrients_from_future_land_use!$A$5:$D$21,2,FALSE)))),"")</f>
        <v/>
      </c>
      <c r="E11" s="34" t="str">
        <f>IFERROR(IF(ISBLANK(A11),"",IF(ISBLANK(B11),"",VLOOKUP(A11,Nutrients_from_future_land_use!$A$5:$D$21,4,FALSE)*(B11/VLOOKUP(A11,Nutrients_from_future_land_use!$A$5:$D$21,2,FALSE)))),"")</f>
        <v/>
      </c>
      <c r="F11" s="63"/>
      <c r="G11" s="63"/>
      <c r="H11" s="63"/>
      <c r="I11" s="34" t="str">
        <f t="shared" si="0"/>
        <v/>
      </c>
      <c r="J11" s="34" t="str">
        <f t="shared" si="1"/>
        <v/>
      </c>
      <c r="K11" s="3" t="str">
        <f>IF(SUMIFS($B$4:$B$28,$A$4:$A$28,A11)&gt;SUMIFS(Nutrients_from_future_land_use!$B$5:$B$21,Nutrients_from_future_land_use!$A$5:$A$21,A11),"Area of new land covers within SuDS catchment area exceeds the area of new land covers proposed","")</f>
        <v/>
      </c>
      <c r="N11" s="94"/>
    </row>
    <row r="12" spans="1:14" ht="28.5" customHeight="1" x14ac:dyDescent="0.35">
      <c r="A12" s="68"/>
      <c r="B12" s="15"/>
      <c r="C12" s="63"/>
      <c r="D12" s="34" t="str">
        <f>IFERROR(IF(ISBLANK(A12),"",IF(ISBLANK(B12),"",VLOOKUP(A12,Nutrients_from_future_land_use!$A$5:$D$21,3,FALSE)*(B12/VLOOKUP(A12,Nutrients_from_future_land_use!$A$5:$D$21,2,FALSE)))),"")</f>
        <v/>
      </c>
      <c r="E12" s="34" t="str">
        <f>IFERROR(IF(ISBLANK(A12),"",IF(ISBLANK(B12),"",VLOOKUP(A12,Nutrients_from_future_land_use!$A$5:$D$21,4,FALSE)*(B12/VLOOKUP(A12,Nutrients_from_future_land_use!$A$5:$D$21,2,FALSE)))),"")</f>
        <v/>
      </c>
      <c r="F12" s="63"/>
      <c r="G12" s="63"/>
      <c r="H12" s="63"/>
      <c r="I12" s="34" t="str">
        <f t="shared" si="0"/>
        <v/>
      </c>
      <c r="J12" s="34" t="str">
        <f t="shared" si="1"/>
        <v/>
      </c>
      <c r="K12" s="3" t="str">
        <f>IF(SUMIFS($B$4:$B$28,$A$4:$A$28,A12)&gt;SUMIFS(Nutrients_from_future_land_use!$B$5:$B$21,Nutrients_from_future_land_use!$A$5:$A$21,A12),"Area of new land covers within SuDS catchment area exceeds the area of new land covers proposed","")</f>
        <v/>
      </c>
      <c r="N12" s="94"/>
    </row>
    <row r="13" spans="1:14" ht="28.5" customHeight="1" x14ac:dyDescent="0.35">
      <c r="A13" s="68"/>
      <c r="B13" s="15"/>
      <c r="C13" s="63"/>
      <c r="D13" s="34" t="str">
        <f>IFERROR(IF(ISBLANK(A13),"",IF(ISBLANK(B13),"",VLOOKUP(A13,Nutrients_from_future_land_use!$A$5:$D$21,3,FALSE)*(B13/VLOOKUP(A13,Nutrients_from_future_land_use!$A$5:$D$21,2,FALSE)))),"")</f>
        <v/>
      </c>
      <c r="E13" s="34" t="str">
        <f>IFERROR(IF(ISBLANK(A13),"",IF(ISBLANK(B13),"",VLOOKUP(A13,Nutrients_from_future_land_use!$A$5:$D$21,4,FALSE)*(B13/VLOOKUP(A13,Nutrients_from_future_land_use!$A$5:$D$21,2,FALSE)))),"")</f>
        <v/>
      </c>
      <c r="F13" s="63"/>
      <c r="G13" s="63"/>
      <c r="H13" s="63"/>
      <c r="I13" s="34" t="str">
        <f t="shared" si="0"/>
        <v/>
      </c>
      <c r="J13" s="34" t="str">
        <f t="shared" si="1"/>
        <v/>
      </c>
      <c r="K13" s="3" t="str">
        <f>IF(SUMIFS($B$4:$B$28,$A$4:$A$28,A13)&gt;SUMIFS(Nutrients_from_future_land_use!$B$5:$B$21,Nutrients_from_future_land_use!$A$5:$A$21,A13),"Area of new land covers within SuDS catchment area exceeds the area of new land covers proposed","")</f>
        <v/>
      </c>
      <c r="N13" s="94"/>
    </row>
    <row r="14" spans="1:14" ht="28.5" customHeight="1" x14ac:dyDescent="0.35">
      <c r="A14" s="68"/>
      <c r="B14" s="15"/>
      <c r="C14" s="63"/>
      <c r="D14" s="34" t="str">
        <f>IFERROR(IF(ISBLANK(A14),"",IF(ISBLANK(B14),"",VLOOKUP(A14,Nutrients_from_future_land_use!$A$5:$D$21,3,FALSE)*(B14/VLOOKUP(A14,Nutrients_from_future_land_use!$A$5:$D$21,2,FALSE)))),"")</f>
        <v/>
      </c>
      <c r="E14" s="34" t="str">
        <f>IFERROR(IF(ISBLANK(A14),"",IF(ISBLANK(B14),"",VLOOKUP(A14,Nutrients_from_future_land_use!$A$5:$D$21,4,FALSE)*(B14/VLOOKUP(A14,Nutrients_from_future_land_use!$A$5:$D$21,2,FALSE)))),"")</f>
        <v/>
      </c>
      <c r="F14" s="63"/>
      <c r="G14" s="63"/>
      <c r="H14" s="63"/>
      <c r="I14" s="34" t="str">
        <f t="shared" si="0"/>
        <v/>
      </c>
      <c r="J14" s="34" t="str">
        <f t="shared" si="1"/>
        <v/>
      </c>
      <c r="K14" s="3" t="str">
        <f>IF(SUMIFS($B$4:$B$28,$A$4:$A$28,A14)&gt;SUMIFS(Nutrients_from_future_land_use!$B$5:$B$21,Nutrients_from_future_land_use!$A$5:$A$21,A14),"Area of new land covers within SuDS catchment area exceeds the area of new land covers proposed","")</f>
        <v/>
      </c>
    </row>
    <row r="15" spans="1:14" ht="28.5" customHeight="1" x14ac:dyDescent="0.35">
      <c r="A15" s="68"/>
      <c r="B15" s="15"/>
      <c r="C15" s="63"/>
      <c r="D15" s="34" t="str">
        <f>IFERROR(IF(ISBLANK(A15),"",IF(ISBLANK(B15),"",VLOOKUP(A15,Nutrients_from_future_land_use!$A$5:$D$21,3,FALSE)*(B15/VLOOKUP(A15,Nutrients_from_future_land_use!$A$5:$D$21,2,FALSE)))),"")</f>
        <v/>
      </c>
      <c r="E15" s="34" t="str">
        <f>IFERROR(IF(ISBLANK(A15),"",IF(ISBLANK(B15),"",VLOOKUP(A15,Nutrients_from_future_land_use!$A$5:$D$21,4,FALSE)*(B15/VLOOKUP(A15,Nutrients_from_future_land_use!$A$5:$D$21,2,FALSE)))),"")</f>
        <v/>
      </c>
      <c r="F15" s="63"/>
      <c r="G15" s="63"/>
      <c r="H15" s="63"/>
      <c r="I15" s="34" t="str">
        <f t="shared" si="0"/>
        <v/>
      </c>
      <c r="J15" s="34" t="str">
        <f t="shared" si="1"/>
        <v/>
      </c>
      <c r="K15" s="3" t="str">
        <f>IF(SUMIFS($B$4:$B$28,$A$4:$A$28,A15)&gt;SUMIFS(Nutrients_from_future_land_use!$B$5:$B$21,Nutrients_from_future_land_use!$A$5:$A$21,A15),"Area of new land covers within SuDS catchment area exceeds the area of new land covers proposed","")</f>
        <v/>
      </c>
    </row>
    <row r="16" spans="1:14" ht="28.5" customHeight="1" x14ac:dyDescent="0.35">
      <c r="A16" s="68"/>
      <c r="B16" s="15"/>
      <c r="C16" s="63"/>
      <c r="D16" s="34" t="str">
        <f>IFERROR(IF(ISBLANK(A16),"",IF(ISBLANK(B16),"",VLOOKUP(A16,Nutrients_from_future_land_use!$A$5:$D$21,3,FALSE)*(B16/VLOOKUP(A16,Nutrients_from_future_land_use!$A$5:$D$21,2,FALSE)))),"")</f>
        <v/>
      </c>
      <c r="E16" s="34" t="str">
        <f>IFERROR(IF(ISBLANK(A16),"",IF(ISBLANK(B16),"",VLOOKUP(A16,Nutrients_from_future_land_use!$A$5:$D$21,4,FALSE)*(B16/VLOOKUP(A16,Nutrients_from_future_land_use!$A$5:$D$21,2,FALSE)))),"")</f>
        <v/>
      </c>
      <c r="F16" s="63"/>
      <c r="G16" s="63"/>
      <c r="H16" s="63"/>
      <c r="I16" s="34" t="str">
        <f t="shared" si="0"/>
        <v/>
      </c>
      <c r="J16" s="34" t="str">
        <f t="shared" si="1"/>
        <v/>
      </c>
      <c r="K16" s="3" t="str">
        <f>IF(SUMIFS($B$4:$B$28,$A$4:$A$28,A16)&gt;SUMIFS(Nutrients_from_future_land_use!$B$5:$B$21,Nutrients_from_future_land_use!$A$5:$A$21,A16),"Area of new land covers within SuDS catchment area exceeds the area of new land covers proposed","")</f>
        <v/>
      </c>
    </row>
    <row r="17" spans="1:11" ht="28.5" customHeight="1" x14ac:dyDescent="0.35">
      <c r="A17" s="68"/>
      <c r="B17" s="15"/>
      <c r="C17" s="63"/>
      <c r="D17" s="34" t="str">
        <f>IFERROR(IF(ISBLANK(A17),"",IF(ISBLANK(B17),"",VLOOKUP(A17,Nutrients_from_future_land_use!$A$5:$D$21,3,FALSE)*(B17/VLOOKUP(A17,Nutrients_from_future_land_use!$A$5:$D$21,2,FALSE)))),"")</f>
        <v/>
      </c>
      <c r="E17" s="34" t="str">
        <f>IFERROR(IF(ISBLANK(A17),"",IF(ISBLANK(B17),"",VLOOKUP(A17,Nutrients_from_future_land_use!$A$5:$D$21,4,FALSE)*(B17/VLOOKUP(A17,Nutrients_from_future_land_use!$A$5:$D$21,2,FALSE)))),"")</f>
        <v/>
      </c>
      <c r="F17" s="63"/>
      <c r="G17" s="63"/>
      <c r="H17" s="63"/>
      <c r="I17" s="34" t="str">
        <f t="shared" si="0"/>
        <v/>
      </c>
      <c r="J17" s="34" t="str">
        <f t="shared" si="1"/>
        <v/>
      </c>
      <c r="K17" s="3" t="str">
        <f>IF(SUMIFS($B$4:$B$28,$A$4:$A$28,A17)&gt;SUMIFS(Nutrients_from_future_land_use!$B$5:$B$21,Nutrients_from_future_land_use!$A$5:$A$21,A17),"Area of new land covers within SuDS catchment area exceeds the area of new land covers proposed","")</f>
        <v/>
      </c>
    </row>
    <row r="18" spans="1:11" ht="28.5" customHeight="1" x14ac:dyDescent="0.35">
      <c r="A18" s="68"/>
      <c r="B18" s="15"/>
      <c r="C18" s="63"/>
      <c r="D18" s="34" t="str">
        <f>IFERROR(IF(ISBLANK(A18),"",IF(ISBLANK(B18),"",VLOOKUP(A18,Nutrients_from_future_land_use!$A$5:$D$21,3,FALSE)*(B18/VLOOKUP(A18,Nutrients_from_future_land_use!$A$5:$D$21,2,FALSE)))),"")</f>
        <v/>
      </c>
      <c r="E18" s="34" t="str">
        <f>IFERROR(IF(ISBLANK(A18),"",IF(ISBLANK(B18),"",VLOOKUP(A18,Nutrients_from_future_land_use!$A$5:$D$21,4,FALSE)*(B18/VLOOKUP(A18,Nutrients_from_future_land_use!$A$5:$D$21,2,FALSE)))),"")</f>
        <v/>
      </c>
      <c r="F18" s="63"/>
      <c r="G18" s="63"/>
      <c r="H18" s="63"/>
      <c r="I18" s="34" t="str">
        <f t="shared" si="0"/>
        <v/>
      </c>
      <c r="J18" s="34" t="str">
        <f t="shared" si="1"/>
        <v/>
      </c>
      <c r="K18" s="3" t="str">
        <f>IF(SUMIFS($B$4:$B$28,$A$4:$A$28,A18)&gt;SUMIFS(Nutrients_from_future_land_use!$B$5:$B$21,Nutrients_from_future_land_use!$A$5:$A$21,A18),"Area of new land covers within SuDS catchment area exceeds the area of new land covers proposed","")</f>
        <v/>
      </c>
    </row>
    <row r="19" spans="1:11" ht="28.5" customHeight="1" x14ac:dyDescent="0.35">
      <c r="A19" s="68"/>
      <c r="B19" s="15"/>
      <c r="C19" s="63"/>
      <c r="D19" s="34" t="str">
        <f>IFERROR(IF(ISBLANK(A19),"",IF(ISBLANK(B19),"",VLOOKUP(A19,Nutrients_from_future_land_use!$A$5:$D$21,3,FALSE)*(B19/VLOOKUP(A19,Nutrients_from_future_land_use!$A$5:$D$21,2,FALSE)))),"")</f>
        <v/>
      </c>
      <c r="E19" s="34" t="str">
        <f>IFERROR(IF(ISBLANK(A19),"",IF(ISBLANK(B19),"",VLOOKUP(A19,Nutrients_from_future_land_use!$A$5:$D$21,4,FALSE)*(B19/VLOOKUP(A19,Nutrients_from_future_land_use!$A$5:$D$21,2,FALSE)))),"")</f>
        <v/>
      </c>
      <c r="F19" s="63"/>
      <c r="G19" s="63"/>
      <c r="H19" s="63"/>
      <c r="I19" s="34" t="str">
        <f t="shared" si="0"/>
        <v/>
      </c>
      <c r="J19" s="34" t="str">
        <f t="shared" si="1"/>
        <v/>
      </c>
      <c r="K19" s="3" t="str">
        <f>IF(SUMIFS($B$4:$B$28,$A$4:$A$28,A19)&gt;SUMIFS(Nutrients_from_future_land_use!$B$5:$B$21,Nutrients_from_future_land_use!$A$5:$A$21,A19),"Area of new land covers within SuDS catchment area exceeds the area of new land covers proposed","")</f>
        <v/>
      </c>
    </row>
    <row r="20" spans="1:11" ht="28.5" customHeight="1" x14ac:dyDescent="0.35">
      <c r="A20" s="68"/>
      <c r="B20" s="15"/>
      <c r="C20" s="63"/>
      <c r="D20" s="34" t="str">
        <f>IFERROR(IF(ISBLANK(A20),"",IF(ISBLANK(B20),"",VLOOKUP(A20,Nutrients_from_future_land_use!$A$5:$D$21,3,FALSE)*(B20/VLOOKUP(A20,Nutrients_from_future_land_use!$A$5:$D$21,2,FALSE)))),"")</f>
        <v/>
      </c>
      <c r="E20" s="34" t="str">
        <f>IFERROR(IF(ISBLANK(A20),"",IF(ISBLANK(B20),"",VLOOKUP(A20,Nutrients_from_future_land_use!$A$5:$D$21,4,FALSE)*(B20/VLOOKUP(A20,Nutrients_from_future_land_use!$A$5:$D$21,2,FALSE)))),"")</f>
        <v/>
      </c>
      <c r="F20" s="63"/>
      <c r="G20" s="63"/>
      <c r="H20" s="63"/>
      <c r="I20" s="34" t="str">
        <f t="shared" si="0"/>
        <v/>
      </c>
      <c r="J20" s="34" t="str">
        <f t="shared" si="1"/>
        <v/>
      </c>
      <c r="K20" s="3" t="str">
        <f>IF(SUMIFS($B$4:$B$28,$A$4:$A$28,A20)&gt;SUMIFS(Nutrients_from_future_land_use!$B$5:$B$21,Nutrients_from_future_land_use!$A$5:$A$21,A20),"Area of new land covers within SuDS catchment area exceeds the area of new land covers proposed","")</f>
        <v/>
      </c>
    </row>
    <row r="21" spans="1:11" ht="28.5" customHeight="1" x14ac:dyDescent="0.35">
      <c r="A21" s="68"/>
      <c r="B21" s="15"/>
      <c r="C21" s="63"/>
      <c r="D21" s="34" t="str">
        <f>IFERROR(IF(ISBLANK(A21),"",IF(ISBLANK(B21),"",VLOOKUP(A21,Nutrients_from_future_land_use!$A$5:$D$21,3,FALSE)*(B21/VLOOKUP(A21,Nutrients_from_future_land_use!$A$5:$D$21,2,FALSE)))),"")</f>
        <v/>
      </c>
      <c r="E21" s="34" t="str">
        <f>IFERROR(IF(ISBLANK(A21),"",IF(ISBLANK(B21),"",VLOOKUP(A21,Nutrients_from_future_land_use!$A$5:$D$21,4,FALSE)*(B21/VLOOKUP(A21,Nutrients_from_future_land_use!$A$5:$D$21,2,FALSE)))),"")</f>
        <v/>
      </c>
      <c r="F21" s="63"/>
      <c r="G21" s="63"/>
      <c r="H21" s="63"/>
      <c r="I21" s="34" t="str">
        <f t="shared" si="0"/>
        <v/>
      </c>
      <c r="J21" s="34" t="str">
        <f t="shared" si="1"/>
        <v/>
      </c>
      <c r="K21" s="3" t="str">
        <f>IF(SUMIFS($B$4:$B$28,$A$4:$A$28,A21)&gt;SUMIFS(Nutrients_from_future_land_use!$B$5:$B$21,Nutrients_from_future_land_use!$A$5:$A$21,A21),"Area of new land covers within SuDS catchment area exceeds the area of new land covers proposed","")</f>
        <v/>
      </c>
    </row>
    <row r="22" spans="1:11" ht="28.5" customHeight="1" x14ac:dyDescent="0.35">
      <c r="A22" s="68"/>
      <c r="B22" s="15"/>
      <c r="C22" s="63"/>
      <c r="D22" s="34" t="str">
        <f>IFERROR(IF(ISBLANK(A22),"",IF(ISBLANK(B22),"",VLOOKUP(A22,Nutrients_from_future_land_use!$A$5:$D$21,3,FALSE)*(B22/VLOOKUP(A22,Nutrients_from_future_land_use!$A$5:$D$21,2,FALSE)))),"")</f>
        <v/>
      </c>
      <c r="E22" s="34" t="str">
        <f>IFERROR(IF(ISBLANK(A22),"",IF(ISBLANK(B22),"",VLOOKUP(A22,Nutrients_from_future_land_use!$A$5:$D$21,4,FALSE)*(B22/VLOOKUP(A22,Nutrients_from_future_land_use!$A$5:$D$21,2,FALSE)))),"")</f>
        <v/>
      </c>
      <c r="F22" s="63"/>
      <c r="G22" s="63"/>
      <c r="H22" s="63"/>
      <c r="I22" s="34" t="str">
        <f t="shared" si="0"/>
        <v/>
      </c>
      <c r="J22" s="34" t="str">
        <f t="shared" si="1"/>
        <v/>
      </c>
      <c r="K22" s="3" t="str">
        <f>IF(SUMIFS($B$4:$B$28,$A$4:$A$28,A22)&gt;SUMIFS(Nutrients_from_future_land_use!$B$5:$B$21,Nutrients_from_future_land_use!$A$5:$A$21,A22),"Area of new land covers within SuDS catchment area exceeds the area of new land covers proposed","")</f>
        <v/>
      </c>
    </row>
    <row r="23" spans="1:11" ht="28.5" customHeight="1" x14ac:dyDescent="0.35">
      <c r="A23" s="68"/>
      <c r="B23" s="15"/>
      <c r="C23" s="63"/>
      <c r="D23" s="34" t="str">
        <f>IFERROR(IF(ISBLANK(A23),"",IF(ISBLANK(B23),"",VLOOKUP(A23,Nutrients_from_future_land_use!$A$5:$D$21,3,FALSE)*(B23/VLOOKUP(A23,Nutrients_from_future_land_use!$A$5:$D$21,2,FALSE)))),"")</f>
        <v/>
      </c>
      <c r="E23" s="34" t="str">
        <f>IFERROR(IF(ISBLANK(A23),"",IF(ISBLANK(B23),"",VLOOKUP(A23,Nutrients_from_future_land_use!$A$5:$D$21,4,FALSE)*(B23/VLOOKUP(A23,Nutrients_from_future_land_use!$A$5:$D$21,2,FALSE)))),"")</f>
        <v/>
      </c>
      <c r="F23" s="63"/>
      <c r="G23" s="63"/>
      <c r="H23" s="63"/>
      <c r="I23" s="34" t="str">
        <f t="shared" si="0"/>
        <v/>
      </c>
      <c r="J23" s="34" t="str">
        <f t="shared" si="1"/>
        <v/>
      </c>
      <c r="K23" s="3" t="str">
        <f>IF(SUMIFS($B$4:$B$28,$A$4:$A$28,A23)&gt;SUMIFS(Nutrients_from_future_land_use!$B$5:$B$21,Nutrients_from_future_land_use!$A$5:$A$21,A23),"Area of new land covers within SuDS catchment area exceeds the area of new land covers proposed","")</f>
        <v/>
      </c>
    </row>
    <row r="24" spans="1:11" ht="28.5" customHeight="1" x14ac:dyDescent="0.35">
      <c r="A24" s="68"/>
      <c r="B24" s="15"/>
      <c r="C24" s="63"/>
      <c r="D24" s="34" t="str">
        <f>IFERROR(IF(ISBLANK(A24),"",IF(ISBLANK(B24),"",VLOOKUP(A24,Nutrients_from_future_land_use!$A$5:$D$21,3,FALSE)*(B24/VLOOKUP(A24,Nutrients_from_future_land_use!$A$5:$D$21,2,FALSE)))),"")</f>
        <v/>
      </c>
      <c r="E24" s="34" t="str">
        <f>IFERROR(IF(ISBLANK(A24),"",IF(ISBLANK(B24),"",VLOOKUP(A24,Nutrients_from_future_land_use!$A$5:$D$21,4,FALSE)*(B24/VLOOKUP(A24,Nutrients_from_future_land_use!$A$5:$D$21,2,FALSE)))),"")</f>
        <v/>
      </c>
      <c r="F24" s="63"/>
      <c r="G24" s="63"/>
      <c r="H24" s="63"/>
      <c r="I24" s="34" t="str">
        <f t="shared" si="0"/>
        <v/>
      </c>
      <c r="J24" s="34" t="str">
        <f t="shared" si="1"/>
        <v/>
      </c>
      <c r="K24" s="3" t="str">
        <f>IF(SUMIFS($B$4:$B$28,$A$4:$A$28,A24)&gt;SUMIFS(Nutrients_from_future_land_use!$B$5:$B$21,Nutrients_from_future_land_use!$A$5:$A$21,A24),"Area of new land covers within SuDS catchment area exceeds the area of new land covers proposed","")</f>
        <v/>
      </c>
    </row>
    <row r="25" spans="1:11" ht="28.5" customHeight="1" x14ac:dyDescent="0.35">
      <c r="A25" s="68"/>
      <c r="B25" s="15"/>
      <c r="C25" s="63"/>
      <c r="D25" s="34" t="str">
        <f>IFERROR(IF(ISBLANK(A25),"",IF(ISBLANK(B25),"",VLOOKUP(A25,Nutrients_from_future_land_use!$A$5:$D$21,3,FALSE)*(B25/VLOOKUP(A25,Nutrients_from_future_land_use!$A$5:$D$21,2,FALSE)))),"")</f>
        <v/>
      </c>
      <c r="E25" s="34" t="str">
        <f>IFERROR(IF(ISBLANK(A25),"",IF(ISBLANK(B25),"",VLOOKUP(A25,Nutrients_from_future_land_use!$A$5:$D$21,4,FALSE)*(B25/VLOOKUP(A25,Nutrients_from_future_land_use!$A$5:$D$21,2,FALSE)))),"")</f>
        <v/>
      </c>
      <c r="F25" s="63"/>
      <c r="G25" s="63"/>
      <c r="H25" s="63"/>
      <c r="I25" s="34" t="str">
        <f t="shared" si="0"/>
        <v/>
      </c>
      <c r="J25" s="34" t="str">
        <f t="shared" si="1"/>
        <v/>
      </c>
      <c r="K25" s="3" t="str">
        <f>IF(SUMIFS($B$4:$B$28,$A$4:$A$28,A25)&gt;SUMIFS(Nutrients_from_future_land_use!$B$5:$B$21,Nutrients_from_future_land_use!$A$5:$A$21,A25),"Area of new land covers within SuDS catchment area exceeds the area of new land covers proposed","")</f>
        <v/>
      </c>
    </row>
    <row r="26" spans="1:11" ht="28.5" customHeight="1" x14ac:dyDescent="0.35">
      <c r="A26" s="68"/>
      <c r="B26" s="15"/>
      <c r="C26" s="63"/>
      <c r="D26" s="34" t="str">
        <f>IFERROR(IF(ISBLANK(A26),"",IF(ISBLANK(B26),"",VLOOKUP(A26,Nutrients_from_future_land_use!$A$5:$D$21,3,FALSE)*(B26/VLOOKUP(A26,Nutrients_from_future_land_use!$A$5:$D$21,2,FALSE)))),"")</f>
        <v/>
      </c>
      <c r="E26" s="34" t="str">
        <f>IFERROR(IF(ISBLANK(A26),"",IF(ISBLANK(B26),"",VLOOKUP(A26,Nutrients_from_future_land_use!$A$5:$D$21,4,FALSE)*(B26/VLOOKUP(A26,Nutrients_from_future_land_use!$A$5:$D$21,2,FALSE)))),"")</f>
        <v/>
      </c>
      <c r="F26" s="63"/>
      <c r="G26" s="63"/>
      <c r="H26" s="63"/>
      <c r="I26" s="34" t="str">
        <f t="shared" si="0"/>
        <v/>
      </c>
      <c r="J26" s="34" t="str">
        <f t="shared" si="1"/>
        <v/>
      </c>
      <c r="K26" s="3" t="str">
        <f>IF(SUMIFS($B$4:$B$28,$A$4:$A$28,A26)&gt;SUMIFS(Nutrients_from_future_land_use!$B$5:$B$21,Nutrients_from_future_land_use!$A$5:$A$21,A26),"Area of new land covers within SuDS catchment area exceeds the area of new land covers proposed","")</f>
        <v/>
      </c>
    </row>
    <row r="27" spans="1:11" ht="28.5" customHeight="1" x14ac:dyDescent="0.35">
      <c r="A27" s="68"/>
      <c r="B27" s="15"/>
      <c r="C27" s="63"/>
      <c r="D27" s="34" t="str">
        <f>IFERROR(IF(ISBLANK(A27),"",IF(ISBLANK(B27),"",VLOOKUP(A27,Nutrients_from_future_land_use!$A$5:$D$21,3,FALSE)*(B27/VLOOKUP(A27,Nutrients_from_future_land_use!$A$5:$D$21,2,FALSE)))),"")</f>
        <v/>
      </c>
      <c r="E27" s="34" t="str">
        <f>IFERROR(IF(ISBLANK(A27),"",IF(ISBLANK(B27),"",VLOOKUP(A27,Nutrients_from_future_land_use!$A$5:$D$21,4,FALSE)*(B27/VLOOKUP(A27,Nutrients_from_future_land_use!$A$5:$D$21,2,FALSE)))),"")</f>
        <v/>
      </c>
      <c r="F27" s="63"/>
      <c r="G27" s="63"/>
      <c r="H27" s="63"/>
      <c r="I27" s="34" t="str">
        <f t="shared" si="0"/>
        <v/>
      </c>
      <c r="J27" s="34" t="str">
        <f t="shared" si="1"/>
        <v/>
      </c>
      <c r="K27" s="3" t="str">
        <f>IF(SUMIFS($B$4:$B$28,$A$4:$A$28,A27)&gt;SUMIFS(Nutrients_from_future_land_use!$B$5:$B$21,Nutrients_from_future_land_use!$A$5:$A$21,A27),"Area of new land covers within SuDS catchment area exceeds the area of new land covers proposed","")</f>
        <v/>
      </c>
    </row>
    <row r="28" spans="1:11" ht="28.5" customHeight="1" x14ac:dyDescent="0.35">
      <c r="A28" s="68"/>
      <c r="B28" s="15"/>
      <c r="C28" s="63"/>
      <c r="D28" s="34" t="str">
        <f>IFERROR(IF(ISBLANK(A28),"",IF(ISBLANK(B28),"",VLOOKUP(A28,Nutrients_from_future_land_use!$A$5:$D$21,3,FALSE)*(B28/VLOOKUP(A28,Nutrients_from_future_land_use!$A$5:$D$21,2,FALSE)))),"")</f>
        <v/>
      </c>
      <c r="E28" s="34" t="str">
        <f>IFERROR(IF(ISBLANK(A28),"",IF(ISBLANK(B28),"",VLOOKUP(A28,Nutrients_from_future_land_use!$A$5:$D$21,4,FALSE)*(B28/VLOOKUP(A28,Nutrients_from_future_land_use!$A$5:$D$21,2,FALSE)))),"")</f>
        <v/>
      </c>
      <c r="F28" s="63"/>
      <c r="G28" s="63"/>
      <c r="H28" s="63"/>
      <c r="I28" s="34" t="str">
        <f t="shared" si="0"/>
        <v/>
      </c>
      <c r="J28" s="34" t="str">
        <f t="shared" si="1"/>
        <v/>
      </c>
      <c r="K28" s="3" t="str">
        <f>IF(SUMIFS($B$4:$B$28,$A$4:$A$28,A28)&gt;SUMIFS(Nutrients_from_future_land_use!$B$5:$B$21,Nutrients_from_future_land_use!$A$5:$A$21,A28),"Area of new land covers within SuDS catchment area exceeds the area of new land covers proposed","")</f>
        <v/>
      </c>
    </row>
    <row r="29" spans="1:11" ht="22.5" customHeight="1" x14ac:dyDescent="0.35">
      <c r="A29" s="10" t="s">
        <v>98</v>
      </c>
      <c r="B29" s="64">
        <f>SUM(B4:B28)</f>
        <v>0</v>
      </c>
      <c r="C29" s="64"/>
      <c r="D29" s="64">
        <f t="shared" ref="D29:E29" si="2">SUM(D4:D28)</f>
        <v>0</v>
      </c>
      <c r="E29" s="64">
        <f t="shared" si="2"/>
        <v>0</v>
      </c>
      <c r="F29" s="65"/>
      <c r="G29" s="65"/>
      <c r="H29" s="65"/>
      <c r="I29" s="33">
        <f>SUM(I4:I28)</f>
        <v>0</v>
      </c>
      <c r="J29" s="33">
        <f>SUM(J4:J28)</f>
        <v>0</v>
      </c>
      <c r="K29" s="95" t="str">
        <f>IF(SUMIFS($B$4:$B$28,$A$4:$A$28,A29)&gt;SUMIFS(Nutrients_from_future_land_use!$B$5:$B$21,Nutrients_from_future_land_use!$A$5:$A$21,A29),"Area of new land covers within SuDS catchment area exceeds the area of new land covers proposed","")</f>
        <v/>
      </c>
    </row>
  </sheetData>
  <sheetProtection algorithmName="SHA-512" hashValue="YewqsalgShUAEZlTk4RVowVCIPTzBH1EzH8R4xz9g0U+ZHgaYPdrjo4ks92V3IX+jGgjFwjmY27UtyGFYhbhQA==" saltValue="aHAtw6oBQEuis7uOBxr5lQ==" spinCount="100000" sheet="1" objects="1" scenarios="1"/>
  <protectedRanges>
    <protectedRange algorithmName="SHA-512" hashValue="MvmTLotpKiuRnedI3A4NjKJPVt4Aw8hcOvmE+D0rBMjM9TiU4ekXkprnHN0k9oVg0inb+CLcUsLFrJxBFcC6uw==" saltValue="93Zg0snhziumGVhjlXa2zg==" spinCount="100000" sqref="A4:A28 B29:E29" name="Range1"/>
    <protectedRange algorithmName="SHA-512" hashValue="MvmTLotpKiuRnedI3A4NjKJPVt4Aw8hcOvmE+D0rBMjM9TiU4ekXkprnHN0k9oVg0inb+CLcUsLFrJxBFcC6uw==" saltValue="93Zg0snhziumGVhjlXa2zg==" spinCount="100000" sqref="B4:C28" name="Range1_1"/>
  </protectedRanges>
  <phoneticPr fontId="3" type="noConversion"/>
  <dataValidations count="4">
    <dataValidation allowBlank="1" showErrorMessage="1" prompt="Please enter area in hectares." sqref="B29:E29" xr:uid="{4F17A0C8-BADF-4DA8-A067-4ABBCFF91399}"/>
    <dataValidation type="decimal" allowBlank="1" showErrorMessage="1" sqref="G4:H28" xr:uid="{71280BD0-17E2-4B70-8A1F-A9E40789C1E4}">
      <formula1>0</formula1>
      <formula2>100</formula2>
    </dataValidation>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_xlfn.ANCHORARRAY(Value_look_up_tables!$A$184)</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C23"/>
  <sheetViews>
    <sheetView zoomScaleNormal="100" workbookViewId="0"/>
  </sheetViews>
  <sheetFormatPr defaultColWidth="9.1796875" defaultRowHeight="15.5" x14ac:dyDescent="0.35"/>
  <cols>
    <col min="1" max="1" width="80.54296875" style="3" customWidth="1"/>
    <col min="2" max="4" width="40.54296875" style="3" customWidth="1"/>
    <col min="5" max="466" width="8.54296875" style="3" customWidth="1"/>
    <col min="467" max="16384" width="9.1796875" style="3"/>
  </cols>
  <sheetData>
    <row r="1" spans="1:3" ht="37.5" customHeight="1" x14ac:dyDescent="0.35">
      <c r="A1" s="45" t="s">
        <v>116</v>
      </c>
      <c r="B1" s="96"/>
      <c r="C1" s="97"/>
    </row>
    <row r="2" spans="1:3" ht="105" customHeight="1" x14ac:dyDescent="0.35">
      <c r="A2" s="3" t="s">
        <v>117</v>
      </c>
      <c r="B2" s="46"/>
    </row>
    <row r="3" spans="1:3" ht="54.75" customHeight="1" x14ac:dyDescent="0.35">
      <c r="A3" s="20" t="s">
        <v>118</v>
      </c>
      <c r="B3" s="35"/>
    </row>
    <row r="4" spans="1:3" ht="22.5" customHeight="1" x14ac:dyDescent="0.35">
      <c r="A4" s="52" t="s">
        <v>79</v>
      </c>
      <c r="B4" s="53" t="s">
        <v>80</v>
      </c>
    </row>
    <row r="5" spans="1:3" ht="22.5" customHeight="1" x14ac:dyDescent="0.35">
      <c r="A5" s="32" t="s">
        <v>119</v>
      </c>
      <c r="B5" s="54" t="str">
        <f>Nutrients_from_wastewater!B22</f>
        <v/>
      </c>
    </row>
    <row r="6" spans="1:3" ht="22.5" customHeight="1" x14ac:dyDescent="0.35">
      <c r="A6" s="9" t="s">
        <v>120</v>
      </c>
      <c r="B6" s="55">
        <f>IFERROR(Nutrients_from_future_land_use!C22-SuDS!I29-Nutrients_from_current_land_use!C28,"")</f>
        <v>0</v>
      </c>
    </row>
    <row r="7" spans="1:3" ht="22.5" customHeight="1" x14ac:dyDescent="0.35">
      <c r="A7" s="9" t="s">
        <v>121</v>
      </c>
      <c r="B7" s="48" t="str">
        <f>IFERROR(B5+B6,"")</f>
        <v/>
      </c>
    </row>
    <row r="8" spans="1:3" ht="22.5" customHeight="1" x14ac:dyDescent="0.35">
      <c r="A8" s="9" t="s">
        <v>122</v>
      </c>
      <c r="B8" s="48" t="str">
        <f>IFERROR(B7*1.2,"")</f>
        <v/>
      </c>
    </row>
    <row r="9" spans="1:3" ht="22.5" customHeight="1" x14ac:dyDescent="0.35">
      <c r="A9" s="32" t="s">
        <v>123</v>
      </c>
      <c r="B9" s="54" t="str">
        <f>Nutrients_from_wastewater!B23</f>
        <v/>
      </c>
    </row>
    <row r="10" spans="1:3" ht="22.5" customHeight="1" x14ac:dyDescent="0.35">
      <c r="A10" s="9" t="s">
        <v>124</v>
      </c>
      <c r="B10" s="48">
        <f>IFERROR(Nutrients_from_future_land_use!D22-SuDS!J29-Nutrients_from_current_land_use!D28,"")</f>
        <v>0</v>
      </c>
    </row>
    <row r="11" spans="1:3" ht="22.5" customHeight="1" x14ac:dyDescent="0.35">
      <c r="A11" s="9" t="s">
        <v>125</v>
      </c>
      <c r="B11" s="48" t="str">
        <f>IFERROR(B9+B10,"")</f>
        <v/>
      </c>
    </row>
    <row r="12" spans="1:3" ht="22.5" customHeight="1" x14ac:dyDescent="0.35">
      <c r="A12" s="9" t="s">
        <v>126</v>
      </c>
      <c r="B12" s="48" t="str">
        <f>IFERROR(B11*1.2,"")</f>
        <v/>
      </c>
    </row>
    <row r="13" spans="1:3" ht="22.5" customHeight="1" x14ac:dyDescent="0.35">
      <c r="A13" s="47" t="str">
        <f>IFERROR(IF(AND(Nutrients_from_wastewater!$B$5&lt;DATE(2025,1,1),OR((VLOOKUP(Nutrients_from_wastewater!$B$10,Value_look_up_tables!$A$5:$E$10,2,FALSE))&gt;(VLOOKUP(Nutrients_from_wastewater!$B$10,Value_look_up_tables!$A$5:$E$10,4,FALSE)),(VLOOKUP(Nutrients_from_wastewater!$B$10,Value_look_up_tables!$A$5:$E$10,3,FALSE))&gt;(VLOOKUP(Nutrients_from_wastewater!$B$10,Value_look_up_tables!$A$5:$E$10,5,FALSE)))),"Post-2030 Annual Nutrient Budget","Annual Nutrient Budget"),"")</f>
        <v/>
      </c>
      <c r="B13" s="71"/>
    </row>
    <row r="14" spans="1:3" ht="22.5" customHeight="1" x14ac:dyDescent="0.35">
      <c r="A14" s="32" t="s">
        <v>127</v>
      </c>
      <c r="B14" s="48" t="str">
        <f>IFERROR(IF(ROUND(B8,2)&lt;0,0,ROUND(B8,2)),"")</f>
        <v/>
      </c>
    </row>
    <row r="15" spans="1:3" ht="22.5" customHeight="1" x14ac:dyDescent="0.35">
      <c r="A15" s="32" t="s">
        <v>128</v>
      </c>
      <c r="B15" s="48" t="str">
        <f>IFERROR(IF(ROUND(B12,2)&lt;0,0,ROUND(B12,2)),"")</f>
        <v/>
      </c>
    </row>
    <row r="16" spans="1:3" ht="22.5" customHeight="1" x14ac:dyDescent="0.35">
      <c r="A16" s="47" t="str">
        <f>IF(Nutrients_from_wastewater!A24="","",LEFT(Nutrients_from_wastewater!A24,9)&amp;"Nutrient Budget")</f>
        <v/>
      </c>
      <c r="B16" s="71"/>
    </row>
    <row r="17" spans="1:3" ht="22.5" customHeight="1" x14ac:dyDescent="0.35">
      <c r="A17" s="32" t="str">
        <f>IF(A16&lt;&gt;"","The total annual phosphorus load to mitigate is (kg TP/yr):","")</f>
        <v/>
      </c>
      <c r="B17" s="49" t="str">
        <f>IFERROR(ROUND((Nutrients_from_wastewater!B25+$B$6)*1.2,2),"")</f>
        <v/>
      </c>
    </row>
    <row r="18" spans="1:3" ht="22.5" customHeight="1" x14ac:dyDescent="0.35">
      <c r="A18" s="32" t="str">
        <f>IF(A16&lt;&gt;"","The total annual nitrogen load to mitigate is (kg TN/yr):","")</f>
        <v/>
      </c>
      <c r="B18" s="50" t="str">
        <f>IFERROR(ROUND((Nutrients_from_wastewater!B26+$B$10)*1.2,2),"")</f>
        <v/>
      </c>
    </row>
    <row r="19" spans="1:3" ht="22.5" customHeight="1" x14ac:dyDescent="0.35">
      <c r="A19" s="47" t="str">
        <f>IF(Nutrients_from_wastewater!A27="","",LEFT(Nutrients_from_wastewater!A27,9)&amp;"Nutrient Budget")</f>
        <v/>
      </c>
      <c r="B19" s="71"/>
    </row>
    <row r="20" spans="1:3" ht="22.5" customHeight="1" x14ac:dyDescent="0.35">
      <c r="A20" s="32" t="str">
        <f>IF(A19&lt;&gt;"","The total annual phosphorus load to mitigate is (kg TP/yr):","")</f>
        <v/>
      </c>
      <c r="B20" s="49" t="str">
        <f>IFERROR(IF(Nutrients_from_wastewater!$A$27="","",ROUND((Nutrients_from_wastewater!B28+$B$6)*1.2,2)),IFERROR(B17,""))</f>
        <v/>
      </c>
    </row>
    <row r="21" spans="1:3" ht="22.5" customHeight="1" x14ac:dyDescent="0.35">
      <c r="A21" s="51" t="str">
        <f>IF(A19&lt;&gt;"","The total annual nitrogen load to mitigate is (kg TN/yr):","")</f>
        <v/>
      </c>
      <c r="B21" s="50" t="str">
        <f>IFERROR(IF(Nutrients_from_wastewater!$A$27="","",ROUND((Nutrients_from_wastewater!B29+$B$10)*1.2,2)),IFERROR(B18,""))</f>
        <v/>
      </c>
    </row>
    <row r="22" spans="1:3" ht="22.5" customHeight="1" x14ac:dyDescent="0.35">
      <c r="A22" s="35"/>
      <c r="B22" s="33"/>
    </row>
    <row r="23" spans="1:3" x14ac:dyDescent="0.35">
      <c r="A23" s="35"/>
      <c r="B23" s="33"/>
      <c r="C23" s="35"/>
    </row>
  </sheetData>
  <sheetProtection algorithmName="SHA-512" hashValue="xEPMlHlW2f6D6y7dH+g3D4zc4UJClJIJ6b68hNrEi4+en3xRC47ETKFEaoM7eA+g81BDWDLg05FM8qnxVIB0NA==" saltValue="rtQ1ChBSnI+sSV+HyOLfNA=="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184"/>
  <sheetViews>
    <sheetView zoomScaleNormal="100" workbookViewId="0"/>
  </sheetViews>
  <sheetFormatPr defaultColWidth="65.453125" defaultRowHeight="15.5" x14ac:dyDescent="0.35"/>
  <cols>
    <col min="1" max="1" width="41" style="98" customWidth="1"/>
    <col min="2" max="3" width="15.7265625" style="98" customWidth="1"/>
    <col min="4" max="4" width="17.26953125" style="98" customWidth="1"/>
    <col min="5" max="5" width="25.7265625" style="98" customWidth="1"/>
    <col min="6" max="6" width="50.7265625" style="98" customWidth="1"/>
    <col min="7" max="7" width="27.81640625" style="98" customWidth="1"/>
    <col min="8" max="8" width="15.7265625" style="98" customWidth="1"/>
    <col min="9" max="9" width="25.7265625" style="98" customWidth="1"/>
    <col min="10" max="10" width="25" style="98" customWidth="1"/>
    <col min="11" max="13" width="15.7265625" style="98" customWidth="1"/>
    <col min="14" max="16384" width="65.453125" style="98"/>
  </cols>
  <sheetData>
    <row r="1" spans="1:14" ht="54.75" customHeight="1" x14ac:dyDescent="0.35">
      <c r="A1" s="76" t="s">
        <v>11</v>
      </c>
      <c r="B1" s="104"/>
      <c r="C1" s="104"/>
      <c r="D1" s="104"/>
      <c r="E1" s="104"/>
      <c r="F1" s="104"/>
      <c r="G1" s="104"/>
      <c r="H1" s="104"/>
      <c r="I1" s="104"/>
      <c r="J1" s="104"/>
      <c r="K1" s="104"/>
      <c r="L1" s="104"/>
      <c r="M1" s="104"/>
      <c r="N1" s="104"/>
    </row>
    <row r="2" spans="1:14" ht="69.75" customHeight="1" x14ac:dyDescent="0.35">
      <c r="A2" s="29" t="s">
        <v>129</v>
      </c>
    </row>
    <row r="3" spans="1:14" ht="28.5" customHeight="1" x14ac:dyDescent="0.35">
      <c r="A3" s="20" t="s">
        <v>130</v>
      </c>
    </row>
    <row r="4" spans="1:14" ht="86.25" customHeight="1" x14ac:dyDescent="0.35">
      <c r="A4" s="19" t="s">
        <v>131</v>
      </c>
      <c r="B4" s="19" t="s">
        <v>132</v>
      </c>
      <c r="C4" s="19" t="s">
        <v>133</v>
      </c>
      <c r="D4" s="19" t="s">
        <v>134</v>
      </c>
      <c r="E4" s="19" t="s">
        <v>135</v>
      </c>
      <c r="F4" s="35" t="s">
        <v>136</v>
      </c>
      <c r="G4" s="35" t="s">
        <v>137</v>
      </c>
      <c r="H4" s="19" t="s">
        <v>138</v>
      </c>
      <c r="I4" s="19" t="s">
        <v>139</v>
      </c>
      <c r="J4" s="35" t="s">
        <v>140</v>
      </c>
      <c r="L4" s="3"/>
      <c r="M4" s="3"/>
    </row>
    <row r="5" spans="1:14" x14ac:dyDescent="0.35">
      <c r="A5" s="3" t="s">
        <v>141</v>
      </c>
      <c r="B5" s="3">
        <v>1</v>
      </c>
      <c r="C5" s="3">
        <f>F5+2</f>
        <v>27</v>
      </c>
      <c r="D5" s="3">
        <v>0.6</v>
      </c>
      <c r="E5" s="3">
        <v>27</v>
      </c>
      <c r="F5" s="3">
        <v>25</v>
      </c>
      <c r="G5" s="3">
        <v>25</v>
      </c>
      <c r="H5" s="3">
        <v>0.25</v>
      </c>
      <c r="I5" s="3">
        <v>10</v>
      </c>
      <c r="J5" s="3">
        <v>8</v>
      </c>
      <c r="L5" s="3"/>
      <c r="M5" s="3"/>
    </row>
    <row r="6" spans="1:14" x14ac:dyDescent="0.35">
      <c r="A6" s="3" t="s">
        <v>142</v>
      </c>
      <c r="B6" s="3">
        <v>1</v>
      </c>
      <c r="C6" s="3">
        <f t="shared" ref="C6:C10" si="0">F6+2</f>
        <v>27</v>
      </c>
      <c r="D6" s="3">
        <v>0.25</v>
      </c>
      <c r="E6" s="3">
        <f t="shared" ref="E6:E10" si="1">G6+2</f>
        <v>27</v>
      </c>
      <c r="F6" s="3">
        <v>25</v>
      </c>
      <c r="G6" s="3">
        <v>25</v>
      </c>
      <c r="H6" s="3">
        <v>0.25</v>
      </c>
      <c r="I6" s="3">
        <v>10</v>
      </c>
      <c r="J6" s="3">
        <v>8</v>
      </c>
      <c r="L6" s="3"/>
      <c r="M6" s="3"/>
    </row>
    <row r="7" spans="1:14" x14ac:dyDescent="0.35">
      <c r="A7" s="3" t="s">
        <v>143</v>
      </c>
      <c r="B7" s="3">
        <v>1</v>
      </c>
      <c r="C7" s="3">
        <f t="shared" si="0"/>
        <v>27</v>
      </c>
      <c r="D7" s="3">
        <v>1</v>
      </c>
      <c r="E7" s="3">
        <v>27</v>
      </c>
      <c r="F7" s="3">
        <v>25</v>
      </c>
      <c r="G7" s="3">
        <v>25</v>
      </c>
      <c r="H7" s="3">
        <v>0.25</v>
      </c>
      <c r="I7" s="3">
        <v>10</v>
      </c>
      <c r="J7" s="3">
        <v>8</v>
      </c>
      <c r="L7" s="3"/>
      <c r="M7" s="3"/>
    </row>
    <row r="8" spans="1:14" x14ac:dyDescent="0.35">
      <c r="A8" s="3" t="s">
        <v>144</v>
      </c>
      <c r="B8" s="3">
        <v>8</v>
      </c>
      <c r="C8" s="3">
        <v>27</v>
      </c>
      <c r="D8" s="3">
        <v>8</v>
      </c>
      <c r="E8" s="3">
        <f t="shared" si="1"/>
        <v>27</v>
      </c>
      <c r="F8" s="3">
        <v>25</v>
      </c>
      <c r="G8" s="3">
        <v>25</v>
      </c>
      <c r="H8" s="3">
        <v>0.25</v>
      </c>
      <c r="I8" s="3">
        <v>10</v>
      </c>
      <c r="J8" s="3">
        <v>8</v>
      </c>
      <c r="L8" s="3"/>
      <c r="M8" s="3"/>
    </row>
    <row r="9" spans="1:14" x14ac:dyDescent="0.35">
      <c r="A9" s="3" t="s">
        <v>145</v>
      </c>
      <c r="B9" s="3">
        <v>9.6999999999999993</v>
      </c>
      <c r="C9" s="3">
        <f t="shared" si="0"/>
        <v>72.900000000000006</v>
      </c>
      <c r="D9" s="3">
        <v>9.6999999999999993</v>
      </c>
      <c r="E9" s="3">
        <f t="shared" si="1"/>
        <v>72.900000000000006</v>
      </c>
      <c r="F9" s="3">
        <v>70.900000000000006</v>
      </c>
      <c r="G9" s="3">
        <v>70.900000000000006</v>
      </c>
      <c r="H9" s="3">
        <v>9.6999999999999993</v>
      </c>
      <c r="I9" s="3">
        <f>J9+2</f>
        <v>72.900000000000006</v>
      </c>
      <c r="J9" s="3">
        <v>70.900000000000006</v>
      </c>
      <c r="L9" s="3"/>
      <c r="M9" s="3"/>
    </row>
    <row r="10" spans="1:14" x14ac:dyDescent="0.35">
      <c r="A10" s="3" t="s">
        <v>146</v>
      </c>
      <c r="B10" s="3">
        <v>11.6</v>
      </c>
      <c r="C10" s="3">
        <f t="shared" si="0"/>
        <v>96.3</v>
      </c>
      <c r="D10" s="3">
        <v>11.6</v>
      </c>
      <c r="E10" s="3">
        <f t="shared" si="1"/>
        <v>96.3</v>
      </c>
      <c r="F10" s="3">
        <v>94.3</v>
      </c>
      <c r="G10" s="3">
        <v>94.3</v>
      </c>
      <c r="H10" s="3">
        <v>11.6</v>
      </c>
      <c r="I10" s="3">
        <f>J10+2</f>
        <v>96.3</v>
      </c>
      <c r="J10" s="3">
        <v>94.3</v>
      </c>
      <c r="L10" s="3"/>
      <c r="M10" s="3"/>
    </row>
    <row r="11" spans="1:14" x14ac:dyDescent="0.35">
      <c r="A11" s="3" t="s">
        <v>147</v>
      </c>
      <c r="B11" s="3"/>
      <c r="C11" s="3"/>
      <c r="D11" s="3"/>
      <c r="E11" s="3"/>
      <c r="F11" s="3"/>
      <c r="G11" s="3"/>
      <c r="H11" s="3"/>
      <c r="I11" s="3"/>
      <c r="J11" s="3"/>
      <c r="L11" s="3"/>
      <c r="M11" s="3"/>
    </row>
    <row r="12" spans="1:14" x14ac:dyDescent="0.35">
      <c r="A12" s="3" t="s">
        <v>148</v>
      </c>
      <c r="B12" s="3"/>
      <c r="C12" s="3"/>
      <c r="D12" s="3"/>
      <c r="E12" s="3"/>
      <c r="F12" s="3"/>
      <c r="G12" s="3"/>
      <c r="H12" s="3"/>
      <c r="I12" s="3"/>
      <c r="J12" s="3"/>
      <c r="L12" s="3"/>
      <c r="M12" s="3"/>
    </row>
    <row r="13" spans="1:14" x14ac:dyDescent="0.35">
      <c r="A13" s="3"/>
      <c r="B13" s="3"/>
      <c r="C13" s="3"/>
      <c r="D13" s="3"/>
      <c r="E13" s="3"/>
      <c r="F13" s="3"/>
      <c r="G13" s="3"/>
      <c r="H13" s="3"/>
      <c r="I13" s="3"/>
      <c r="J13" s="3"/>
      <c r="K13" s="3"/>
      <c r="L13" s="3"/>
      <c r="M13" s="3"/>
    </row>
    <row r="14" spans="1:14" ht="42.75" customHeight="1" x14ac:dyDescent="0.35">
      <c r="A14" s="20" t="s">
        <v>149</v>
      </c>
      <c r="B14" s="3"/>
      <c r="C14" s="3"/>
      <c r="D14" s="3"/>
      <c r="E14" s="3"/>
      <c r="F14" s="3"/>
      <c r="G14" s="3"/>
      <c r="H14" s="3"/>
      <c r="I14" s="3"/>
      <c r="J14" s="3"/>
      <c r="K14" s="3"/>
      <c r="L14" s="3"/>
      <c r="M14" s="3"/>
    </row>
    <row r="15" spans="1:14" ht="77.5" x14ac:dyDescent="0.35">
      <c r="A15" s="19" t="s">
        <v>150</v>
      </c>
      <c r="B15" s="19" t="s">
        <v>151</v>
      </c>
      <c r="C15" s="19" t="s">
        <v>152</v>
      </c>
      <c r="D15" s="19" t="s">
        <v>153</v>
      </c>
      <c r="E15" s="19" t="s">
        <v>154</v>
      </c>
      <c r="F15" s="19" t="s">
        <v>155</v>
      </c>
      <c r="G15" s="19" t="s">
        <v>156</v>
      </c>
      <c r="H15" s="19" t="s">
        <v>157</v>
      </c>
      <c r="I15" s="19" t="s">
        <v>158</v>
      </c>
      <c r="J15" s="19" t="s">
        <v>159</v>
      </c>
      <c r="K15" s="19" t="s">
        <v>160</v>
      </c>
      <c r="L15" s="19" t="s">
        <v>161</v>
      </c>
      <c r="M15" s="19" t="s">
        <v>162</v>
      </c>
    </row>
    <row r="16" spans="1:14" ht="17.25" customHeight="1" x14ac:dyDescent="0.35">
      <c r="A16" s="102" t="s">
        <v>163</v>
      </c>
      <c r="B16" s="102" t="s">
        <v>164</v>
      </c>
      <c r="C16" s="102" t="b">
        <v>1</v>
      </c>
      <c r="D16" s="102" t="s">
        <v>165</v>
      </c>
      <c r="E16" s="102" t="s">
        <v>166</v>
      </c>
      <c r="F16" s="3" t="str">
        <f>A16&amp;"|"&amp;B16&amp;"|"&amp;C16&amp;"|"&amp;D16&amp;"|"&amp;E16</f>
        <v>Itchen|Cereals|TRUE|700to900|FreeDrain</v>
      </c>
      <c r="G16" s="100">
        <v>0.1</v>
      </c>
      <c r="H16" s="100">
        <v>28.76</v>
      </c>
      <c r="I16" s="3" t="str">
        <f t="shared" ref="I16:I79" si="2">B16&amp;"|"&amp;D16</f>
        <v>Cereals|700to900</v>
      </c>
      <c r="J16" s="100">
        <f>AVERAGE(G16:G18)</f>
        <v>0.58333333333333337</v>
      </c>
      <c r="K16" s="100">
        <f>AVERAGE(H16:H18)</f>
        <v>23.810000000000002</v>
      </c>
      <c r="L16" s="100">
        <f>AVERAGE(G16:G19)</f>
        <v>0.48249999999999998</v>
      </c>
      <c r="M16" s="100">
        <f>AVERAGE(H16:H19)</f>
        <v>25.5</v>
      </c>
    </row>
    <row r="17" spans="1:13" x14ac:dyDescent="0.35">
      <c r="A17" s="102" t="s">
        <v>163</v>
      </c>
      <c r="B17" s="102" t="s">
        <v>164</v>
      </c>
      <c r="C17" s="102" t="b">
        <v>1</v>
      </c>
      <c r="D17" s="102" t="s">
        <v>165</v>
      </c>
      <c r="E17" s="102" t="s">
        <v>167</v>
      </c>
      <c r="F17" s="3" t="str">
        <f t="shared" ref="F17:F39" si="3">A17&amp;"|"&amp;B17&amp;"|"&amp;C17&amp;"|"&amp;D17&amp;"|"&amp;E17</f>
        <v>Itchen|Cereals|TRUE|700to900|DrainedAr</v>
      </c>
      <c r="G17" s="100">
        <v>0.7</v>
      </c>
      <c r="H17" s="100">
        <v>22.06</v>
      </c>
      <c r="I17" s="3" t="str">
        <f t="shared" si="2"/>
        <v>Cereals|700to900</v>
      </c>
      <c r="J17" s="100">
        <f>AVERAGE(G16:G18)</f>
        <v>0.58333333333333337</v>
      </c>
      <c r="K17" s="100">
        <f>AVERAGE(H16:H18)</f>
        <v>23.810000000000002</v>
      </c>
      <c r="L17" s="100"/>
      <c r="M17" s="100"/>
    </row>
    <row r="18" spans="1:13" x14ac:dyDescent="0.35">
      <c r="A18" s="102" t="s">
        <v>163</v>
      </c>
      <c r="B18" s="102" t="s">
        <v>164</v>
      </c>
      <c r="C18" s="102" t="b">
        <v>1</v>
      </c>
      <c r="D18" s="102" t="s">
        <v>165</v>
      </c>
      <c r="E18" s="102" t="s">
        <v>168</v>
      </c>
      <c r="F18" s="3" t="str">
        <f t="shared" si="3"/>
        <v>Itchen|Cereals|TRUE|700to900|DrainedArGr</v>
      </c>
      <c r="G18" s="100">
        <v>0.95</v>
      </c>
      <c r="H18" s="100">
        <v>20.61</v>
      </c>
      <c r="I18" s="3" t="str">
        <f t="shared" si="2"/>
        <v>Cereals|700to900</v>
      </c>
      <c r="J18" s="100">
        <f>AVERAGE(G16:G18)</f>
        <v>0.58333333333333337</v>
      </c>
      <c r="K18" s="100">
        <f>AVERAGE(H16:H18)</f>
        <v>23.810000000000002</v>
      </c>
      <c r="L18" s="100"/>
      <c r="M18" s="100"/>
    </row>
    <row r="19" spans="1:13" x14ac:dyDescent="0.35">
      <c r="A19" s="102" t="s">
        <v>163</v>
      </c>
      <c r="B19" s="102" t="s">
        <v>164</v>
      </c>
      <c r="C19" s="102" t="b">
        <v>1</v>
      </c>
      <c r="D19" s="102" t="s">
        <v>169</v>
      </c>
      <c r="E19" s="102" t="s">
        <v>166</v>
      </c>
      <c r="F19" s="3" t="str">
        <f t="shared" si="3"/>
        <v>Itchen|Cereals|TRUE|900to1200|FreeDrain</v>
      </c>
      <c r="G19" s="100">
        <v>0.18</v>
      </c>
      <c r="H19" s="100">
        <v>30.57</v>
      </c>
      <c r="I19" s="3" t="str">
        <f t="shared" si="2"/>
        <v>Cereals|900to1200</v>
      </c>
      <c r="J19" s="100">
        <f>AVERAGE(G43)</f>
        <v>1.18</v>
      </c>
      <c r="K19" s="100">
        <f>AVERAGE(H43)</f>
        <v>26.81</v>
      </c>
      <c r="L19" s="100"/>
      <c r="M19" s="100"/>
    </row>
    <row r="20" spans="1:13" x14ac:dyDescent="0.35">
      <c r="A20" s="102" t="s">
        <v>163</v>
      </c>
      <c r="B20" s="102" t="s">
        <v>170</v>
      </c>
      <c r="C20" s="102" t="b">
        <v>1</v>
      </c>
      <c r="D20" s="102" t="s">
        <v>165</v>
      </c>
      <c r="E20" s="102" t="s">
        <v>166</v>
      </c>
      <c r="F20" s="3" t="str">
        <f t="shared" si="3"/>
        <v>Itchen|General|TRUE|700to900|FreeDrain</v>
      </c>
      <c r="G20" s="100">
        <v>0.08</v>
      </c>
      <c r="H20" s="100">
        <v>21.65</v>
      </c>
      <c r="I20" s="3" t="str">
        <f t="shared" si="2"/>
        <v>General|700to900</v>
      </c>
      <c r="J20" s="100">
        <f>AVERAGE(G20:G22)</f>
        <v>0.43333333333333329</v>
      </c>
      <c r="K20" s="100">
        <f>AVERAGE(H20:H22)</f>
        <v>17.546666666666663</v>
      </c>
      <c r="L20" s="100">
        <f>AVERAGE(G20:G23)</f>
        <v>0.36</v>
      </c>
      <c r="M20" s="100">
        <f>AVERAGE(H20:H23)</f>
        <v>18.954999999999998</v>
      </c>
    </row>
    <row r="21" spans="1:13" x14ac:dyDescent="0.35">
      <c r="A21" s="102" t="s">
        <v>163</v>
      </c>
      <c r="B21" s="102" t="s">
        <v>170</v>
      </c>
      <c r="C21" s="102" t="b">
        <v>1</v>
      </c>
      <c r="D21" s="102" t="s">
        <v>165</v>
      </c>
      <c r="E21" s="102" t="s">
        <v>167</v>
      </c>
      <c r="F21" s="3" t="str">
        <f t="shared" si="3"/>
        <v>Itchen|General|TRUE|700to900|DrainedAr</v>
      </c>
      <c r="G21" s="100">
        <v>0.49</v>
      </c>
      <c r="H21" s="100">
        <v>16.23</v>
      </c>
      <c r="I21" s="3" t="str">
        <f t="shared" si="2"/>
        <v>General|700to900</v>
      </c>
      <c r="J21" s="100">
        <f>AVERAGE(G20:G22)</f>
        <v>0.43333333333333329</v>
      </c>
      <c r="K21" s="100">
        <f>AVERAGE(H20:H22)</f>
        <v>17.546666666666663</v>
      </c>
      <c r="L21" s="100"/>
      <c r="M21" s="100"/>
    </row>
    <row r="22" spans="1:13" x14ac:dyDescent="0.35">
      <c r="A22" s="102" t="s">
        <v>163</v>
      </c>
      <c r="B22" s="102" t="s">
        <v>170</v>
      </c>
      <c r="C22" s="102" t="b">
        <v>1</v>
      </c>
      <c r="D22" s="102" t="s">
        <v>165</v>
      </c>
      <c r="E22" s="102" t="s">
        <v>168</v>
      </c>
      <c r="F22" s="3" t="str">
        <f t="shared" si="3"/>
        <v>Itchen|General|TRUE|700to900|DrainedArGr</v>
      </c>
      <c r="G22" s="100">
        <v>0.73</v>
      </c>
      <c r="H22" s="100">
        <v>14.76</v>
      </c>
      <c r="I22" s="3" t="str">
        <f t="shared" si="2"/>
        <v>General|700to900</v>
      </c>
      <c r="J22" s="100">
        <f>AVERAGE(G20:G22)</f>
        <v>0.43333333333333329</v>
      </c>
      <c r="K22" s="100">
        <f>AVERAGE(H20:H22)</f>
        <v>17.546666666666663</v>
      </c>
      <c r="L22" s="100"/>
      <c r="M22" s="100"/>
    </row>
    <row r="23" spans="1:13" x14ac:dyDescent="0.35">
      <c r="A23" s="102" t="s">
        <v>163</v>
      </c>
      <c r="B23" s="102" t="s">
        <v>170</v>
      </c>
      <c r="C23" s="102" t="b">
        <v>1</v>
      </c>
      <c r="D23" s="102" t="s">
        <v>169</v>
      </c>
      <c r="E23" s="102" t="s">
        <v>166</v>
      </c>
      <c r="F23" s="3" t="str">
        <f t="shared" si="3"/>
        <v>Itchen|General|TRUE|900to1200|FreeDrain</v>
      </c>
      <c r="G23" s="100">
        <v>0.14000000000000001</v>
      </c>
      <c r="H23" s="100">
        <v>23.18</v>
      </c>
      <c r="I23" s="3" t="str">
        <f t="shared" si="2"/>
        <v>General|900to1200</v>
      </c>
      <c r="J23" s="100">
        <f>AVERAGE(G23,G47:G48)</f>
        <v>0.66</v>
      </c>
      <c r="K23" s="100">
        <f>AVERAGE(H23,H47:H48)</f>
        <v>18.14</v>
      </c>
      <c r="L23" s="100"/>
      <c r="M23" s="100"/>
    </row>
    <row r="24" spans="1:13" x14ac:dyDescent="0.35">
      <c r="A24" s="102" t="s">
        <v>163</v>
      </c>
      <c r="B24" s="102" t="s">
        <v>171</v>
      </c>
      <c r="C24" s="102" t="b">
        <v>1</v>
      </c>
      <c r="D24" s="102" t="s">
        <v>165</v>
      </c>
      <c r="E24" s="102" t="s">
        <v>166</v>
      </c>
      <c r="F24" s="3" t="str">
        <f t="shared" si="3"/>
        <v>Itchen|Horticulture|TRUE|700to900|FreeDrain</v>
      </c>
      <c r="G24" s="100">
        <v>0.09</v>
      </c>
      <c r="H24" s="100">
        <v>21.82</v>
      </c>
      <c r="I24" s="3" t="str">
        <f t="shared" si="2"/>
        <v>Horticulture|700to900</v>
      </c>
      <c r="J24" s="100">
        <f>AVERAGE(G24,G25)</f>
        <v>0.47</v>
      </c>
      <c r="K24" s="100">
        <f>AVERAGE(H24,H25)</f>
        <v>18.11</v>
      </c>
      <c r="L24" s="100">
        <f>AVERAGE(G24:G26)</f>
        <v>0.36666666666666664</v>
      </c>
      <c r="M24" s="100">
        <f>AVERAGE(H24:H26)</f>
        <v>19.88</v>
      </c>
    </row>
    <row r="25" spans="1:13" x14ac:dyDescent="0.35">
      <c r="A25" s="102" t="s">
        <v>163</v>
      </c>
      <c r="B25" s="102" t="s">
        <v>171</v>
      </c>
      <c r="C25" s="102" t="b">
        <v>1</v>
      </c>
      <c r="D25" s="102" t="s">
        <v>165</v>
      </c>
      <c r="E25" s="102" t="s">
        <v>168</v>
      </c>
      <c r="F25" s="3" t="str">
        <f t="shared" si="3"/>
        <v>Itchen|Horticulture|TRUE|700to900|DrainedArGr</v>
      </c>
      <c r="G25" s="100">
        <v>0.85</v>
      </c>
      <c r="H25" s="100">
        <v>14.4</v>
      </c>
      <c r="I25" s="3" t="str">
        <f t="shared" si="2"/>
        <v>Horticulture|700to900</v>
      </c>
      <c r="J25" s="100">
        <f>AVERAGE(G24,G25)</f>
        <v>0.47</v>
      </c>
      <c r="K25" s="100">
        <f>AVERAGE(H24,H25)</f>
        <v>18.11</v>
      </c>
      <c r="L25" s="100"/>
      <c r="M25" s="100"/>
    </row>
    <row r="26" spans="1:13" x14ac:dyDescent="0.35">
      <c r="A26" s="102" t="s">
        <v>163</v>
      </c>
      <c r="B26" s="102" t="s">
        <v>171</v>
      </c>
      <c r="C26" s="102" t="b">
        <v>1</v>
      </c>
      <c r="D26" s="102" t="s">
        <v>169</v>
      </c>
      <c r="E26" s="102" t="s">
        <v>166</v>
      </c>
      <c r="F26" s="3" t="str">
        <f t="shared" si="3"/>
        <v>Itchen|Horticulture|TRUE|900to1200|FreeDrain</v>
      </c>
      <c r="G26" s="100">
        <v>0.16</v>
      </c>
      <c r="H26" s="100">
        <v>23.42</v>
      </c>
      <c r="I26" s="3" t="str">
        <f t="shared" si="2"/>
        <v>Horticulture|900to1200</v>
      </c>
      <c r="J26" s="100">
        <f>AVERAGE(G26,G52:G53)</f>
        <v>0.79999999999999993</v>
      </c>
      <c r="K26" s="100">
        <f>AVERAGE(H26,H52:H53)</f>
        <v>19.103333333333335</v>
      </c>
      <c r="L26" s="100"/>
      <c r="M26" s="100"/>
    </row>
    <row r="27" spans="1:13" x14ac:dyDescent="0.35">
      <c r="A27" s="102" t="s">
        <v>163</v>
      </c>
      <c r="B27" s="102" t="s">
        <v>172</v>
      </c>
      <c r="C27" s="102" t="b">
        <v>1</v>
      </c>
      <c r="D27" s="102" t="s">
        <v>165</v>
      </c>
      <c r="E27" s="102" t="s">
        <v>166</v>
      </c>
      <c r="F27" s="3" t="str">
        <f t="shared" si="3"/>
        <v>Itchen|Poultry|TRUE|700to900|FreeDrain</v>
      </c>
      <c r="G27" s="100">
        <v>0.09</v>
      </c>
      <c r="H27" s="100">
        <v>78.56</v>
      </c>
      <c r="I27" s="3" t="str">
        <f t="shared" si="2"/>
        <v>Poultry|700to900</v>
      </c>
      <c r="J27" s="100">
        <f>AVERAGE(G27,G58)</f>
        <v>0.51500000000000001</v>
      </c>
      <c r="K27" s="100">
        <f>AVERAGE(H27,H58)</f>
        <v>85.43</v>
      </c>
      <c r="L27" s="100">
        <f>AVERAGE(G27:G29)</f>
        <v>0.13</v>
      </c>
      <c r="M27" s="100">
        <f>AVERAGE(H27:H29)</f>
        <v>81.13666666666667</v>
      </c>
    </row>
    <row r="28" spans="1:13" x14ac:dyDescent="0.35">
      <c r="A28" s="102" t="s">
        <v>163</v>
      </c>
      <c r="B28" s="102" t="s">
        <v>172</v>
      </c>
      <c r="C28" s="102" t="b">
        <v>0</v>
      </c>
      <c r="D28" s="102" t="s">
        <v>169</v>
      </c>
      <c r="E28" s="102" t="s">
        <v>166</v>
      </c>
      <c r="F28" s="3" t="str">
        <f t="shared" si="3"/>
        <v>Itchen|Poultry|FALSE|900to1200|FreeDrain</v>
      </c>
      <c r="G28" s="100">
        <v>0.15</v>
      </c>
      <c r="H28" s="100">
        <v>82.28</v>
      </c>
      <c r="I28" s="3" t="str">
        <f t="shared" si="2"/>
        <v>Poultry|900to1200</v>
      </c>
      <c r="J28" s="100">
        <f>AVERAGE(G28,G59:G60)</f>
        <v>0.82666666666666666</v>
      </c>
      <c r="K28" s="100">
        <f>AVERAGE(H28,H59:H60)</f>
        <v>107.81</v>
      </c>
      <c r="L28" s="100"/>
      <c r="M28" s="100"/>
    </row>
    <row r="29" spans="1:13" x14ac:dyDescent="0.35">
      <c r="A29" s="102" t="s">
        <v>163</v>
      </c>
      <c r="B29" s="102" t="s">
        <v>172</v>
      </c>
      <c r="C29" s="102" t="b">
        <v>1</v>
      </c>
      <c r="D29" s="102" t="s">
        <v>169</v>
      </c>
      <c r="E29" s="102" t="s">
        <v>166</v>
      </c>
      <c r="F29" s="3" t="str">
        <f t="shared" si="3"/>
        <v>Itchen|Poultry|TRUE|900to1200|FreeDrain</v>
      </c>
      <c r="G29" s="100">
        <v>0.15</v>
      </c>
      <c r="H29" s="100">
        <v>82.57</v>
      </c>
      <c r="I29" s="3" t="str">
        <f t="shared" si="2"/>
        <v>Poultry|900to1200</v>
      </c>
      <c r="J29" s="100">
        <f>AVERAGE(G29,G59:G60)</f>
        <v>0.82666666666666666</v>
      </c>
      <c r="K29" s="100">
        <f>AVERAGE(H29,H59:H60)</f>
        <v>107.90666666666665</v>
      </c>
      <c r="L29" s="100"/>
      <c r="M29" s="100"/>
    </row>
    <row r="30" spans="1:13" x14ac:dyDescent="0.35">
      <c r="A30" s="102" t="s">
        <v>163</v>
      </c>
      <c r="B30" s="102" t="s">
        <v>173</v>
      </c>
      <c r="C30" s="102" t="b">
        <v>1</v>
      </c>
      <c r="D30" s="102" t="s">
        <v>165</v>
      </c>
      <c r="E30" s="102" t="s">
        <v>166</v>
      </c>
      <c r="F30" s="3" t="str">
        <f t="shared" si="3"/>
        <v>Itchen|Dairy|TRUE|700to900|FreeDrain</v>
      </c>
      <c r="G30" s="100">
        <v>0.12</v>
      </c>
      <c r="H30" s="100">
        <v>47.12</v>
      </c>
      <c r="I30" s="3" t="str">
        <f t="shared" si="2"/>
        <v>Dairy|700to900</v>
      </c>
      <c r="J30" s="100">
        <f>AVERAGE(G30:G31)</f>
        <v>0.67999999999999994</v>
      </c>
      <c r="K30" s="100">
        <f>AVERAGE(H30:H31)</f>
        <v>34.14</v>
      </c>
      <c r="L30" s="100">
        <f>AVERAGE(G30:G31)</f>
        <v>0.67999999999999994</v>
      </c>
      <c r="M30" s="100">
        <f>AVERAGE(H30:H31)</f>
        <v>34.14</v>
      </c>
    </row>
    <row r="31" spans="1:13" x14ac:dyDescent="0.35">
      <c r="A31" s="102" t="s">
        <v>163</v>
      </c>
      <c r="B31" s="102" t="s">
        <v>173</v>
      </c>
      <c r="C31" s="102" t="b">
        <v>1</v>
      </c>
      <c r="D31" s="102" t="s">
        <v>165</v>
      </c>
      <c r="E31" s="102" t="s">
        <v>168</v>
      </c>
      <c r="F31" s="3" t="str">
        <f t="shared" si="3"/>
        <v>Itchen|Dairy|TRUE|700to900|DrainedArGr</v>
      </c>
      <c r="G31" s="100">
        <v>1.24</v>
      </c>
      <c r="H31" s="100">
        <v>21.16</v>
      </c>
      <c r="I31" s="3" t="str">
        <f t="shared" si="2"/>
        <v>Dairy|700to900</v>
      </c>
      <c r="J31" s="100">
        <f>AVERAGE(G30:G31)</f>
        <v>0.67999999999999994</v>
      </c>
      <c r="K31" s="100">
        <f>AVERAGE(H30:H31)</f>
        <v>34.14</v>
      </c>
      <c r="L31" s="100"/>
      <c r="M31" s="100"/>
    </row>
    <row r="32" spans="1:13" x14ac:dyDescent="0.35">
      <c r="A32" s="102" t="s">
        <v>163</v>
      </c>
      <c r="B32" s="102" t="s">
        <v>174</v>
      </c>
      <c r="C32" s="102" t="b">
        <v>1</v>
      </c>
      <c r="D32" s="102" t="s">
        <v>165</v>
      </c>
      <c r="E32" s="102" t="s">
        <v>166</v>
      </c>
      <c r="F32" s="3" t="str">
        <f t="shared" si="3"/>
        <v>Itchen|Lowland|TRUE|700to900|FreeDrain</v>
      </c>
      <c r="G32" s="100">
        <v>0.06</v>
      </c>
      <c r="H32" s="100">
        <v>13.13</v>
      </c>
      <c r="I32" s="3" t="str">
        <f t="shared" si="2"/>
        <v>Lowland|700to900</v>
      </c>
      <c r="J32" s="100">
        <f>AVERAGE(G32:G34)</f>
        <v>0.27999999999999997</v>
      </c>
      <c r="K32" s="100">
        <f>AVERAGE(H32:H34)</f>
        <v>10.209999999999999</v>
      </c>
      <c r="L32" s="100">
        <f>AVERAGE(G32:G36)</f>
        <v>0.21200000000000002</v>
      </c>
      <c r="M32" s="100">
        <f>AVERAGE(H32:H36)</f>
        <v>11.756</v>
      </c>
    </row>
    <row r="33" spans="1:14" x14ac:dyDescent="0.35">
      <c r="A33" s="102" t="s">
        <v>163</v>
      </c>
      <c r="B33" s="102" t="s">
        <v>174</v>
      </c>
      <c r="C33" s="102" t="b">
        <v>1</v>
      </c>
      <c r="D33" s="102" t="s">
        <v>165</v>
      </c>
      <c r="E33" s="102" t="s">
        <v>167</v>
      </c>
      <c r="F33" s="3" t="str">
        <f t="shared" si="3"/>
        <v>Itchen|Lowland|TRUE|700to900|DrainedAr</v>
      </c>
      <c r="G33" s="100">
        <v>0.18</v>
      </c>
      <c r="H33" s="100">
        <v>10.16</v>
      </c>
      <c r="I33" s="3" t="str">
        <f t="shared" si="2"/>
        <v>Lowland|700to900</v>
      </c>
      <c r="J33" s="100">
        <f>AVERAGE(G32:G34)</f>
        <v>0.27999999999999997</v>
      </c>
      <c r="K33" s="100">
        <f>AVERAGE(H32:H34)</f>
        <v>10.209999999999999</v>
      </c>
      <c r="L33" s="100"/>
      <c r="M33" s="100"/>
    </row>
    <row r="34" spans="1:14" x14ac:dyDescent="0.35">
      <c r="A34" s="102" t="s">
        <v>163</v>
      </c>
      <c r="B34" s="102" t="s">
        <v>174</v>
      </c>
      <c r="C34" s="102" t="b">
        <v>1</v>
      </c>
      <c r="D34" s="102" t="s">
        <v>165</v>
      </c>
      <c r="E34" s="102" t="s">
        <v>168</v>
      </c>
      <c r="F34" s="3" t="str">
        <f t="shared" si="3"/>
        <v>Itchen|Lowland|TRUE|700to900|DrainedArGr</v>
      </c>
      <c r="G34" s="100">
        <v>0.6</v>
      </c>
      <c r="H34" s="100">
        <v>7.34</v>
      </c>
      <c r="I34" s="3" t="str">
        <f t="shared" si="2"/>
        <v>Lowland|700to900</v>
      </c>
      <c r="J34" s="100">
        <f>AVERAGE(G32:G34)</f>
        <v>0.27999999999999997</v>
      </c>
      <c r="K34" s="100">
        <f>AVERAGE(H32:H34)</f>
        <v>10.209999999999999</v>
      </c>
      <c r="L34" s="100"/>
      <c r="M34" s="100"/>
      <c r="N34" s="3"/>
    </row>
    <row r="35" spans="1:14" x14ac:dyDescent="0.35">
      <c r="A35" s="102" t="s">
        <v>163</v>
      </c>
      <c r="B35" s="102" t="s">
        <v>174</v>
      </c>
      <c r="C35" s="102" t="b">
        <v>0</v>
      </c>
      <c r="D35" s="102" t="s">
        <v>169</v>
      </c>
      <c r="E35" s="102" t="s">
        <v>166</v>
      </c>
      <c r="F35" s="3" t="str">
        <f t="shared" si="3"/>
        <v>Itchen|Lowland|FALSE|900to1200|FreeDrain</v>
      </c>
      <c r="G35" s="100">
        <v>0.11</v>
      </c>
      <c r="H35" s="100">
        <v>14.12</v>
      </c>
      <c r="I35" s="3" t="str">
        <f t="shared" si="2"/>
        <v>Lowland|900to1200</v>
      </c>
      <c r="J35" s="100">
        <f>AVERAGE(G35,G68:G69)</f>
        <v>0.49666666666666665</v>
      </c>
      <c r="K35" s="100">
        <f>AVERAGE(H35,H68:H69)</f>
        <v>12.299999999999999</v>
      </c>
      <c r="L35" s="100"/>
      <c r="M35" s="100"/>
    </row>
    <row r="36" spans="1:14" x14ac:dyDescent="0.35">
      <c r="A36" s="102" t="s">
        <v>163</v>
      </c>
      <c r="B36" s="102" t="s">
        <v>174</v>
      </c>
      <c r="C36" s="102" t="b">
        <v>1</v>
      </c>
      <c r="D36" s="102" t="s">
        <v>169</v>
      </c>
      <c r="E36" s="102" t="s">
        <v>166</v>
      </c>
      <c r="F36" s="3" t="str">
        <f t="shared" si="3"/>
        <v>Itchen|Lowland|TRUE|900to1200|FreeDrain</v>
      </c>
      <c r="G36" s="100">
        <v>0.11</v>
      </c>
      <c r="H36" s="100">
        <v>14.03</v>
      </c>
      <c r="I36" s="3" t="str">
        <f t="shared" si="2"/>
        <v>Lowland|900to1200</v>
      </c>
      <c r="J36" s="100">
        <f>AVERAGE(G36,G68:G69)</f>
        <v>0.49666666666666665</v>
      </c>
      <c r="K36" s="100">
        <f>AVERAGE(H36,H68:H69)</f>
        <v>12.270000000000001</v>
      </c>
      <c r="L36" s="100"/>
      <c r="M36" s="100"/>
    </row>
    <row r="37" spans="1:14" x14ac:dyDescent="0.35">
      <c r="A37" s="102" t="s">
        <v>163</v>
      </c>
      <c r="B37" s="102" t="s">
        <v>175</v>
      </c>
      <c r="C37" s="102" t="b">
        <v>1</v>
      </c>
      <c r="D37" s="102" t="s">
        <v>165</v>
      </c>
      <c r="E37" s="102" t="s">
        <v>166</v>
      </c>
      <c r="F37" s="3" t="str">
        <f t="shared" si="3"/>
        <v>Itchen|Mixed|TRUE|700to900|FreeDrain</v>
      </c>
      <c r="G37" s="100">
        <v>0.1</v>
      </c>
      <c r="H37" s="100">
        <v>26.32</v>
      </c>
      <c r="I37" s="3" t="str">
        <f t="shared" si="2"/>
        <v>Mixed|700to900</v>
      </c>
      <c r="J37" s="100">
        <f>AVERAGE(G37:G38)</f>
        <v>0.33499999999999996</v>
      </c>
      <c r="K37" s="100">
        <f>AVERAGE(H37:H38)</f>
        <v>23.259999999999998</v>
      </c>
      <c r="L37" s="100">
        <f>AVERAGE(G37:G39)</f>
        <v>0.27999999999999997</v>
      </c>
      <c r="M37" s="100">
        <f>AVERAGE(H37:H39)</f>
        <v>24.823333333333334</v>
      </c>
    </row>
    <row r="38" spans="1:14" x14ac:dyDescent="0.35">
      <c r="A38" s="102" t="s">
        <v>163</v>
      </c>
      <c r="B38" s="102" t="s">
        <v>175</v>
      </c>
      <c r="C38" s="102" t="b">
        <v>1</v>
      </c>
      <c r="D38" s="102" t="s">
        <v>165</v>
      </c>
      <c r="E38" s="102" t="s">
        <v>167</v>
      </c>
      <c r="F38" s="3" t="str">
        <f t="shared" si="3"/>
        <v>Itchen|Mixed|TRUE|700to900|DrainedAr</v>
      </c>
      <c r="G38" s="100">
        <v>0.56999999999999995</v>
      </c>
      <c r="H38" s="100">
        <v>20.2</v>
      </c>
      <c r="I38" s="3" t="str">
        <f t="shared" si="2"/>
        <v>Mixed|700to900</v>
      </c>
      <c r="J38" s="100">
        <f>AVERAGE(G37:G38)</f>
        <v>0.33499999999999996</v>
      </c>
      <c r="K38" s="100">
        <f>AVERAGE(H37:H38)</f>
        <v>23.259999999999998</v>
      </c>
      <c r="L38" s="100"/>
      <c r="M38" s="100"/>
    </row>
    <row r="39" spans="1:14" x14ac:dyDescent="0.35">
      <c r="A39" s="102" t="s">
        <v>163</v>
      </c>
      <c r="B39" s="102" t="s">
        <v>175</v>
      </c>
      <c r="C39" s="102" t="b">
        <v>1</v>
      </c>
      <c r="D39" s="102" t="s">
        <v>169</v>
      </c>
      <c r="E39" s="102" t="s">
        <v>166</v>
      </c>
      <c r="F39" s="3" t="str">
        <f t="shared" si="3"/>
        <v>Itchen|Mixed|TRUE|900to1200|FreeDrain</v>
      </c>
      <c r="G39" s="100">
        <v>0.17</v>
      </c>
      <c r="H39" s="100">
        <v>27.95</v>
      </c>
      <c r="I39" s="3" t="str">
        <f t="shared" si="2"/>
        <v>Mixed|900to1200</v>
      </c>
      <c r="J39" s="100">
        <f>AVERAGE(G39,G72:G73)</f>
        <v>0.79</v>
      </c>
      <c r="K39" s="100">
        <f>AVERAGE(H39,H72:H73)</f>
        <v>23.653333333333336</v>
      </c>
      <c r="L39" s="100"/>
      <c r="M39" s="100"/>
    </row>
    <row r="40" spans="1:14" x14ac:dyDescent="0.35">
      <c r="A40" s="102" t="s">
        <v>176</v>
      </c>
      <c r="B40" s="102" t="s">
        <v>164</v>
      </c>
      <c r="C40" s="102" t="b">
        <v>1</v>
      </c>
      <c r="D40" s="102" t="s">
        <v>165</v>
      </c>
      <c r="E40" s="102" t="s">
        <v>166</v>
      </c>
      <c r="F40" s="3" t="str">
        <f t="shared" ref="F40:F89" si="4">B40&amp;"|"&amp;C40&amp;"|"&amp;D40&amp;"|"&amp;E40</f>
        <v>Cereals|TRUE|700to900|FreeDrain</v>
      </c>
      <c r="G40" s="100">
        <v>0.13</v>
      </c>
      <c r="H40" s="100">
        <v>27.04</v>
      </c>
      <c r="I40" s="3" t="str">
        <f t="shared" si="2"/>
        <v>Cereals|700to900</v>
      </c>
      <c r="J40" s="100">
        <f>G40</f>
        <v>0.13</v>
      </c>
      <c r="K40" s="100">
        <f>H40</f>
        <v>27.04</v>
      </c>
      <c r="L40" s="100"/>
      <c r="M40" s="100"/>
    </row>
    <row r="41" spans="1:14" x14ac:dyDescent="0.35">
      <c r="A41" s="102" t="s">
        <v>176</v>
      </c>
      <c r="B41" s="102" t="s">
        <v>164</v>
      </c>
      <c r="C41" s="102" t="b">
        <v>1</v>
      </c>
      <c r="D41" s="102" t="s">
        <v>165</v>
      </c>
      <c r="E41" s="102" t="s">
        <v>167</v>
      </c>
      <c r="F41" s="3" t="str">
        <f t="shared" si="4"/>
        <v>Cereals|TRUE|700to900|DrainedAr</v>
      </c>
      <c r="G41" s="100">
        <v>0.62</v>
      </c>
      <c r="H41" s="100">
        <v>20.93</v>
      </c>
      <c r="I41" s="3" t="str">
        <f t="shared" si="2"/>
        <v>Cereals|700to900</v>
      </c>
      <c r="J41" s="100">
        <f t="shared" ref="J41:K89" si="5">G41</f>
        <v>0.62</v>
      </c>
      <c r="K41" s="100">
        <f t="shared" si="5"/>
        <v>20.93</v>
      </c>
      <c r="L41" s="100"/>
      <c r="M41" s="100"/>
    </row>
    <row r="42" spans="1:14" x14ac:dyDescent="0.35">
      <c r="A42" s="102" t="s">
        <v>176</v>
      </c>
      <c r="B42" s="102" t="s">
        <v>164</v>
      </c>
      <c r="C42" s="102" t="b">
        <v>1</v>
      </c>
      <c r="D42" s="102" t="s">
        <v>165</v>
      </c>
      <c r="E42" s="102" t="s">
        <v>168</v>
      </c>
      <c r="F42" s="3" t="str">
        <f t="shared" si="4"/>
        <v>Cereals|TRUE|700to900|DrainedArGr</v>
      </c>
      <c r="G42" s="100">
        <v>0.87</v>
      </c>
      <c r="H42" s="100">
        <v>19.59</v>
      </c>
      <c r="I42" s="3" t="str">
        <f t="shared" si="2"/>
        <v>Cereals|700to900</v>
      </c>
      <c r="J42" s="100">
        <f t="shared" si="5"/>
        <v>0.87</v>
      </c>
      <c r="K42" s="100">
        <f t="shared" si="5"/>
        <v>19.59</v>
      </c>
      <c r="L42" s="100"/>
      <c r="M42" s="100"/>
    </row>
    <row r="43" spans="1:14" x14ac:dyDescent="0.35">
      <c r="A43" s="102" t="s">
        <v>176</v>
      </c>
      <c r="B43" s="102" t="s">
        <v>164</v>
      </c>
      <c r="C43" s="102" t="b">
        <v>1</v>
      </c>
      <c r="D43" s="102" t="s">
        <v>169</v>
      </c>
      <c r="E43" s="102" t="s">
        <v>167</v>
      </c>
      <c r="F43" s="3" t="str">
        <f t="shared" si="4"/>
        <v>Cereals|TRUE|900to1200|DrainedAr</v>
      </c>
      <c r="G43" s="100">
        <v>1.18</v>
      </c>
      <c r="H43" s="100">
        <v>26.81</v>
      </c>
      <c r="I43" s="3" t="str">
        <f t="shared" si="2"/>
        <v>Cereals|900to1200</v>
      </c>
      <c r="J43" s="100">
        <f t="shared" si="5"/>
        <v>1.18</v>
      </c>
      <c r="K43" s="100">
        <f t="shared" si="5"/>
        <v>26.81</v>
      </c>
      <c r="L43" s="100"/>
      <c r="M43" s="100"/>
    </row>
    <row r="44" spans="1:14" x14ac:dyDescent="0.35">
      <c r="A44" s="102" t="s">
        <v>176</v>
      </c>
      <c r="B44" s="102" t="s">
        <v>170</v>
      </c>
      <c r="C44" s="102" t="b">
        <v>1</v>
      </c>
      <c r="D44" s="102" t="s">
        <v>165</v>
      </c>
      <c r="E44" s="102" t="s">
        <v>166</v>
      </c>
      <c r="F44" s="3" t="str">
        <f t="shared" si="4"/>
        <v>General|TRUE|700to900|FreeDrain</v>
      </c>
      <c r="G44" s="100">
        <v>0.1</v>
      </c>
      <c r="H44" s="100">
        <v>17.95</v>
      </c>
      <c r="I44" s="3" t="str">
        <f t="shared" si="2"/>
        <v>General|700to900</v>
      </c>
      <c r="J44" s="100">
        <f t="shared" si="5"/>
        <v>0.1</v>
      </c>
      <c r="K44" s="100">
        <f t="shared" si="5"/>
        <v>17.95</v>
      </c>
      <c r="L44" s="100"/>
      <c r="M44" s="100"/>
    </row>
    <row r="45" spans="1:14" x14ac:dyDescent="0.35">
      <c r="A45" s="102" t="s">
        <v>176</v>
      </c>
      <c r="B45" s="102" t="s">
        <v>170</v>
      </c>
      <c r="C45" s="102" t="b">
        <v>1</v>
      </c>
      <c r="D45" s="102" t="s">
        <v>165</v>
      </c>
      <c r="E45" s="102" t="s">
        <v>167</v>
      </c>
      <c r="F45" s="3" t="str">
        <f t="shared" si="4"/>
        <v>General|TRUE|700to900|DrainedAr</v>
      </c>
      <c r="G45" s="100">
        <v>0.4</v>
      </c>
      <c r="H45" s="100">
        <v>13.43</v>
      </c>
      <c r="I45" s="3" t="str">
        <f t="shared" si="2"/>
        <v>General|700to900</v>
      </c>
      <c r="J45" s="100">
        <f t="shared" si="5"/>
        <v>0.4</v>
      </c>
      <c r="K45" s="100">
        <f t="shared" si="5"/>
        <v>13.43</v>
      </c>
      <c r="L45" s="100"/>
      <c r="M45" s="100"/>
    </row>
    <row r="46" spans="1:14" x14ac:dyDescent="0.35">
      <c r="A46" s="102" t="s">
        <v>176</v>
      </c>
      <c r="B46" s="102" t="s">
        <v>170</v>
      </c>
      <c r="C46" s="102" t="b">
        <v>1</v>
      </c>
      <c r="D46" s="102" t="s">
        <v>165</v>
      </c>
      <c r="E46" s="102" t="s">
        <v>168</v>
      </c>
      <c r="F46" s="3" t="str">
        <f t="shared" si="4"/>
        <v>General|TRUE|700to900|DrainedArGr</v>
      </c>
      <c r="G46" s="100">
        <v>0.64</v>
      </c>
      <c r="H46" s="100">
        <v>12.05</v>
      </c>
      <c r="I46" s="3" t="str">
        <f t="shared" si="2"/>
        <v>General|700to900</v>
      </c>
      <c r="J46" s="100">
        <f t="shared" si="5"/>
        <v>0.64</v>
      </c>
      <c r="K46" s="100">
        <f t="shared" si="5"/>
        <v>12.05</v>
      </c>
      <c r="L46" s="100"/>
      <c r="M46" s="100"/>
    </row>
    <row r="47" spans="1:14" x14ac:dyDescent="0.35">
      <c r="A47" s="102" t="s">
        <v>176</v>
      </c>
      <c r="B47" s="102" t="s">
        <v>170</v>
      </c>
      <c r="C47" s="102" t="b">
        <v>1</v>
      </c>
      <c r="D47" s="102" t="s">
        <v>169</v>
      </c>
      <c r="E47" s="102" t="s">
        <v>167</v>
      </c>
      <c r="F47" s="3" t="str">
        <f t="shared" si="4"/>
        <v>General|TRUE|900to1200|DrainedAr</v>
      </c>
      <c r="G47" s="100">
        <v>0.76</v>
      </c>
      <c r="H47" s="100">
        <v>17.149999999999999</v>
      </c>
      <c r="I47" s="3" t="str">
        <f t="shared" si="2"/>
        <v>General|900to1200</v>
      </c>
      <c r="J47" s="100">
        <f t="shared" si="5"/>
        <v>0.76</v>
      </c>
      <c r="K47" s="100">
        <f t="shared" si="5"/>
        <v>17.149999999999999</v>
      </c>
      <c r="L47" s="100"/>
      <c r="M47" s="100"/>
    </row>
    <row r="48" spans="1:14" x14ac:dyDescent="0.35">
      <c r="A48" s="102" t="s">
        <v>176</v>
      </c>
      <c r="B48" s="102" t="s">
        <v>170</v>
      </c>
      <c r="C48" s="102" t="b">
        <v>1</v>
      </c>
      <c r="D48" s="102" t="s">
        <v>169</v>
      </c>
      <c r="E48" s="102" t="s">
        <v>168</v>
      </c>
      <c r="F48" s="3" t="str">
        <f t="shared" si="4"/>
        <v>General|TRUE|900to1200|DrainedArGr</v>
      </c>
      <c r="G48" s="100">
        <v>1.08</v>
      </c>
      <c r="H48" s="100">
        <v>14.09</v>
      </c>
      <c r="I48" s="3" t="str">
        <f t="shared" si="2"/>
        <v>General|900to1200</v>
      </c>
      <c r="J48" s="100">
        <f t="shared" si="5"/>
        <v>1.08</v>
      </c>
      <c r="K48" s="100">
        <f t="shared" si="5"/>
        <v>14.09</v>
      </c>
      <c r="L48" s="100"/>
      <c r="M48" s="100"/>
    </row>
    <row r="49" spans="1:13" x14ac:dyDescent="0.35">
      <c r="A49" s="102" t="s">
        <v>176</v>
      </c>
      <c r="B49" s="102" t="s">
        <v>171</v>
      </c>
      <c r="C49" s="102" t="b">
        <v>1</v>
      </c>
      <c r="D49" s="102" t="s">
        <v>165</v>
      </c>
      <c r="E49" s="102" t="s">
        <v>166</v>
      </c>
      <c r="F49" s="3" t="str">
        <f t="shared" si="4"/>
        <v>Horticulture|TRUE|700to900|FreeDrain</v>
      </c>
      <c r="G49" s="100">
        <v>0.11</v>
      </c>
      <c r="H49" s="100">
        <v>20.27</v>
      </c>
      <c r="I49" s="3" t="str">
        <f t="shared" si="2"/>
        <v>Horticulture|700to900</v>
      </c>
      <c r="J49" s="100">
        <f t="shared" si="5"/>
        <v>0.11</v>
      </c>
      <c r="K49" s="100">
        <f t="shared" si="5"/>
        <v>20.27</v>
      </c>
      <c r="L49" s="100"/>
      <c r="M49" s="100"/>
    </row>
    <row r="50" spans="1:13" x14ac:dyDescent="0.35">
      <c r="A50" s="102" t="s">
        <v>176</v>
      </c>
      <c r="B50" s="102" t="s">
        <v>171</v>
      </c>
      <c r="C50" s="102" t="b">
        <v>1</v>
      </c>
      <c r="D50" s="102" t="s">
        <v>165</v>
      </c>
      <c r="E50" s="102" t="s">
        <v>167</v>
      </c>
      <c r="F50" s="3" t="str">
        <f t="shared" si="4"/>
        <v>Horticulture|TRUE|700to900|DrainedAr</v>
      </c>
      <c r="G50" s="100">
        <v>0.52</v>
      </c>
      <c r="H50" s="100">
        <v>14.82</v>
      </c>
      <c r="I50" s="3" t="str">
        <f t="shared" si="2"/>
        <v>Horticulture|700to900</v>
      </c>
      <c r="J50" s="100">
        <f t="shared" si="5"/>
        <v>0.52</v>
      </c>
      <c r="K50" s="100">
        <f t="shared" si="5"/>
        <v>14.82</v>
      </c>
      <c r="L50" s="100"/>
      <c r="M50" s="100"/>
    </row>
    <row r="51" spans="1:13" x14ac:dyDescent="0.35">
      <c r="A51" s="102" t="s">
        <v>176</v>
      </c>
      <c r="B51" s="102" t="s">
        <v>171</v>
      </c>
      <c r="C51" s="102" t="b">
        <v>1</v>
      </c>
      <c r="D51" s="102" t="s">
        <v>165</v>
      </c>
      <c r="E51" s="102" t="s">
        <v>168</v>
      </c>
      <c r="F51" s="3" t="str">
        <f t="shared" si="4"/>
        <v>Horticulture|TRUE|700to900|DrainedArGr</v>
      </c>
      <c r="G51" s="100">
        <v>0.77</v>
      </c>
      <c r="H51" s="100">
        <v>13.18</v>
      </c>
      <c r="I51" s="3" t="str">
        <f t="shared" si="2"/>
        <v>Horticulture|700to900</v>
      </c>
      <c r="J51" s="100">
        <f t="shared" si="5"/>
        <v>0.77</v>
      </c>
      <c r="K51" s="100">
        <f t="shared" si="5"/>
        <v>13.18</v>
      </c>
      <c r="L51" s="100"/>
      <c r="M51" s="100"/>
    </row>
    <row r="52" spans="1:13" x14ac:dyDescent="0.35">
      <c r="A52" s="102" t="s">
        <v>176</v>
      </c>
      <c r="B52" s="102" t="s">
        <v>171</v>
      </c>
      <c r="C52" s="102" t="b">
        <v>1</v>
      </c>
      <c r="D52" s="102" t="s">
        <v>169</v>
      </c>
      <c r="E52" s="102" t="s">
        <v>167</v>
      </c>
      <c r="F52" s="3" t="str">
        <f t="shared" si="4"/>
        <v>Horticulture|TRUE|900to1200|DrainedAr</v>
      </c>
      <c r="G52" s="100">
        <v>0.98</v>
      </c>
      <c r="H52" s="100">
        <v>18.78</v>
      </c>
      <c r="I52" s="3" t="str">
        <f t="shared" si="2"/>
        <v>Horticulture|900to1200</v>
      </c>
      <c r="J52" s="100">
        <f t="shared" si="5"/>
        <v>0.98</v>
      </c>
      <c r="K52" s="100">
        <f t="shared" si="5"/>
        <v>18.78</v>
      </c>
      <c r="L52" s="100"/>
      <c r="M52" s="100"/>
    </row>
    <row r="53" spans="1:13" x14ac:dyDescent="0.35">
      <c r="A53" s="102" t="s">
        <v>176</v>
      </c>
      <c r="B53" s="102" t="s">
        <v>171</v>
      </c>
      <c r="C53" s="102" t="b">
        <v>1</v>
      </c>
      <c r="D53" s="102" t="s">
        <v>169</v>
      </c>
      <c r="E53" s="102" t="s">
        <v>168</v>
      </c>
      <c r="F53" s="3" t="str">
        <f t="shared" si="4"/>
        <v>Horticulture|TRUE|900to1200|DrainedArGr</v>
      </c>
      <c r="G53" s="100">
        <v>1.26</v>
      </c>
      <c r="H53" s="100">
        <v>15.11</v>
      </c>
      <c r="I53" s="3" t="str">
        <f t="shared" si="2"/>
        <v>Horticulture|900to1200</v>
      </c>
      <c r="J53" s="100">
        <f t="shared" si="5"/>
        <v>1.26</v>
      </c>
      <c r="K53" s="100">
        <f t="shared" si="5"/>
        <v>15.11</v>
      </c>
      <c r="L53" s="100"/>
      <c r="M53" s="100"/>
    </row>
    <row r="54" spans="1:13" x14ac:dyDescent="0.35">
      <c r="A54" s="102" t="s">
        <v>176</v>
      </c>
      <c r="B54" s="102" t="s">
        <v>177</v>
      </c>
      <c r="C54" s="102" t="b">
        <v>1</v>
      </c>
      <c r="D54" s="102" t="s">
        <v>165</v>
      </c>
      <c r="E54" s="102" t="s">
        <v>166</v>
      </c>
      <c r="F54" s="3" t="str">
        <f t="shared" si="4"/>
        <v>Pig|TRUE|700to900|FreeDrain</v>
      </c>
      <c r="G54" s="100">
        <v>0.14000000000000001</v>
      </c>
      <c r="H54" s="100">
        <v>85.33</v>
      </c>
      <c r="I54" s="3" t="str">
        <f t="shared" si="2"/>
        <v>Pig|700to900</v>
      </c>
      <c r="J54" s="100">
        <f t="shared" si="5"/>
        <v>0.14000000000000001</v>
      </c>
      <c r="K54" s="100">
        <f t="shared" si="5"/>
        <v>85.33</v>
      </c>
      <c r="L54" s="100">
        <f>AVERAGE(G54:G56)</f>
        <v>0.91000000000000014</v>
      </c>
      <c r="M54" s="100">
        <f>AVERAGE(H54:H56)</f>
        <v>61.013333333333328</v>
      </c>
    </row>
    <row r="55" spans="1:13" x14ac:dyDescent="0.35">
      <c r="A55" s="102" t="s">
        <v>176</v>
      </c>
      <c r="B55" s="102" t="s">
        <v>177</v>
      </c>
      <c r="C55" s="102" t="b">
        <v>1</v>
      </c>
      <c r="D55" s="102" t="s">
        <v>165</v>
      </c>
      <c r="E55" s="102" t="s">
        <v>168</v>
      </c>
      <c r="F55" s="3" t="str">
        <f t="shared" si="4"/>
        <v>Pig|TRUE|700to900|DrainedArGr</v>
      </c>
      <c r="G55" s="100">
        <v>1.02</v>
      </c>
      <c r="H55" s="100">
        <v>46.64</v>
      </c>
      <c r="I55" s="3" t="str">
        <f t="shared" si="2"/>
        <v>Pig|700to900</v>
      </c>
      <c r="J55" s="100">
        <f t="shared" si="5"/>
        <v>1.02</v>
      </c>
      <c r="K55" s="100">
        <f t="shared" si="5"/>
        <v>46.64</v>
      </c>
      <c r="L55" s="100"/>
      <c r="M55" s="100"/>
    </row>
    <row r="56" spans="1:13" x14ac:dyDescent="0.35">
      <c r="A56" s="102" t="s">
        <v>176</v>
      </c>
      <c r="B56" s="102" t="s">
        <v>177</v>
      </c>
      <c r="C56" s="102" t="b">
        <v>1</v>
      </c>
      <c r="D56" s="102" t="s">
        <v>169</v>
      </c>
      <c r="E56" s="102" t="s">
        <v>168</v>
      </c>
      <c r="F56" s="3" t="str">
        <f t="shared" si="4"/>
        <v>Pig|TRUE|900to1200|DrainedArGr</v>
      </c>
      <c r="G56" s="100">
        <v>1.57</v>
      </c>
      <c r="H56" s="100">
        <v>51.07</v>
      </c>
      <c r="I56" s="3" t="str">
        <f t="shared" si="2"/>
        <v>Pig|900to1200</v>
      </c>
      <c r="J56" s="100">
        <f t="shared" si="5"/>
        <v>1.57</v>
      </c>
      <c r="K56" s="100">
        <f t="shared" si="5"/>
        <v>51.07</v>
      </c>
      <c r="L56" s="100"/>
      <c r="M56" s="100"/>
    </row>
    <row r="57" spans="1:13" x14ac:dyDescent="0.35">
      <c r="A57" s="102" t="s">
        <v>176</v>
      </c>
      <c r="B57" s="102" t="s">
        <v>172</v>
      </c>
      <c r="C57" s="102" t="b">
        <v>1</v>
      </c>
      <c r="D57" s="102" t="s">
        <v>165</v>
      </c>
      <c r="E57" s="102" t="s">
        <v>166</v>
      </c>
      <c r="F57" s="3" t="str">
        <f t="shared" si="4"/>
        <v>Poultry|TRUE|700to900|FreeDrain</v>
      </c>
      <c r="G57" s="100">
        <v>0.19</v>
      </c>
      <c r="H57" s="100">
        <v>181.05</v>
      </c>
      <c r="I57" s="3" t="str">
        <f t="shared" si="2"/>
        <v>Poultry|700to900</v>
      </c>
      <c r="J57" s="100">
        <f t="shared" si="5"/>
        <v>0.19</v>
      </c>
      <c r="K57" s="100">
        <f t="shared" si="5"/>
        <v>181.05</v>
      </c>
      <c r="L57" s="100"/>
      <c r="M57" s="100"/>
    </row>
    <row r="58" spans="1:13" x14ac:dyDescent="0.35">
      <c r="A58" s="102" t="s">
        <v>176</v>
      </c>
      <c r="B58" s="102" t="s">
        <v>172</v>
      </c>
      <c r="C58" s="102" t="b">
        <v>1</v>
      </c>
      <c r="D58" s="102" t="s">
        <v>165</v>
      </c>
      <c r="E58" s="102" t="s">
        <v>168</v>
      </c>
      <c r="F58" s="3" t="str">
        <f t="shared" si="4"/>
        <v>Poultry|TRUE|700to900|DrainedArGr</v>
      </c>
      <c r="G58" s="100">
        <v>0.94</v>
      </c>
      <c r="H58" s="100">
        <v>92.3</v>
      </c>
      <c r="I58" s="3" t="str">
        <f t="shared" si="2"/>
        <v>Poultry|700to900</v>
      </c>
      <c r="J58" s="100">
        <f t="shared" si="5"/>
        <v>0.94</v>
      </c>
      <c r="K58" s="100">
        <f t="shared" si="5"/>
        <v>92.3</v>
      </c>
      <c r="L58" s="100"/>
      <c r="M58" s="100"/>
    </row>
    <row r="59" spans="1:13" x14ac:dyDescent="0.35">
      <c r="A59" s="102" t="s">
        <v>176</v>
      </c>
      <c r="B59" s="102" t="s">
        <v>172</v>
      </c>
      <c r="C59" s="102" t="b">
        <v>1</v>
      </c>
      <c r="D59" s="102" t="s">
        <v>169</v>
      </c>
      <c r="E59" s="102" t="s">
        <v>167</v>
      </c>
      <c r="F59" s="3" t="str">
        <f t="shared" si="4"/>
        <v>Poultry|TRUE|900to1200|DrainedAr</v>
      </c>
      <c r="G59" s="100">
        <v>0.83</v>
      </c>
      <c r="H59" s="100">
        <v>141.51</v>
      </c>
      <c r="I59" s="3" t="str">
        <f t="shared" si="2"/>
        <v>Poultry|900to1200</v>
      </c>
      <c r="J59" s="100">
        <f t="shared" si="5"/>
        <v>0.83</v>
      </c>
      <c r="K59" s="100">
        <f t="shared" si="5"/>
        <v>141.51</v>
      </c>
      <c r="L59" s="100"/>
      <c r="M59" s="100"/>
    </row>
    <row r="60" spans="1:13" x14ac:dyDescent="0.35">
      <c r="A60" s="102" t="s">
        <v>176</v>
      </c>
      <c r="B60" s="102" t="s">
        <v>172</v>
      </c>
      <c r="C60" s="102" t="b">
        <v>1</v>
      </c>
      <c r="D60" s="102" t="s">
        <v>169</v>
      </c>
      <c r="E60" s="102" t="s">
        <v>168</v>
      </c>
      <c r="F60" s="3" t="str">
        <f t="shared" si="4"/>
        <v>Poultry|TRUE|900to1200|DrainedArGr</v>
      </c>
      <c r="G60" s="100">
        <v>1.5</v>
      </c>
      <c r="H60" s="100">
        <v>99.64</v>
      </c>
      <c r="I60" s="3" t="str">
        <f t="shared" si="2"/>
        <v>Poultry|900to1200</v>
      </c>
      <c r="J60" s="100">
        <f t="shared" si="5"/>
        <v>1.5</v>
      </c>
      <c r="K60" s="100">
        <f t="shared" si="5"/>
        <v>99.64</v>
      </c>
      <c r="L60" s="100"/>
      <c r="M60" s="100"/>
    </row>
    <row r="61" spans="1:13" x14ac:dyDescent="0.35">
      <c r="A61" s="102" t="s">
        <v>176</v>
      </c>
      <c r="B61" s="102" t="s">
        <v>173</v>
      </c>
      <c r="C61" s="102" t="b">
        <v>1</v>
      </c>
      <c r="D61" s="102" t="s">
        <v>165</v>
      </c>
      <c r="E61" s="102" t="s">
        <v>166</v>
      </c>
      <c r="F61" s="3" t="str">
        <f t="shared" si="4"/>
        <v>Dairy|TRUE|700to900|FreeDrain</v>
      </c>
      <c r="G61" s="100">
        <v>0.15</v>
      </c>
      <c r="H61" s="100">
        <v>35.340000000000003</v>
      </c>
      <c r="I61" s="3" t="str">
        <f t="shared" si="2"/>
        <v>Dairy|700to900</v>
      </c>
      <c r="J61" s="100">
        <f t="shared" si="5"/>
        <v>0.15</v>
      </c>
      <c r="K61" s="100">
        <f t="shared" si="5"/>
        <v>35.340000000000003</v>
      </c>
      <c r="L61" s="100"/>
      <c r="M61" s="100"/>
    </row>
    <row r="62" spans="1:13" x14ac:dyDescent="0.35">
      <c r="A62" s="102" t="s">
        <v>176</v>
      </c>
      <c r="B62" s="102" t="s">
        <v>173</v>
      </c>
      <c r="C62" s="102" t="b">
        <v>1</v>
      </c>
      <c r="D62" s="102" t="s">
        <v>165</v>
      </c>
      <c r="E62" s="102" t="s">
        <v>168</v>
      </c>
      <c r="F62" s="3" t="str">
        <f t="shared" si="4"/>
        <v>Dairy|TRUE|700to900|DrainedArGr</v>
      </c>
      <c r="G62" s="100">
        <v>1.01</v>
      </c>
      <c r="H62" s="100">
        <v>16.37</v>
      </c>
      <c r="I62" s="3" t="str">
        <f t="shared" si="2"/>
        <v>Dairy|700to900</v>
      </c>
      <c r="J62" s="100">
        <f t="shared" si="5"/>
        <v>1.01</v>
      </c>
      <c r="K62" s="100">
        <f t="shared" si="5"/>
        <v>16.37</v>
      </c>
      <c r="L62" s="100"/>
      <c r="M62" s="100"/>
    </row>
    <row r="63" spans="1:13" x14ac:dyDescent="0.35">
      <c r="A63" s="102" t="s">
        <v>176</v>
      </c>
      <c r="B63" s="102" t="s">
        <v>174</v>
      </c>
      <c r="C63" s="102" t="b">
        <v>1</v>
      </c>
      <c r="D63" s="102" t="s">
        <v>165</v>
      </c>
      <c r="E63" s="102" t="s">
        <v>166</v>
      </c>
      <c r="F63" s="3" t="str">
        <f t="shared" si="4"/>
        <v>Lowland|TRUE|700to900|FreeDrain</v>
      </c>
      <c r="G63" s="100">
        <v>0.09</v>
      </c>
      <c r="H63" s="100">
        <v>13.36</v>
      </c>
      <c r="I63" s="3" t="str">
        <f t="shared" si="2"/>
        <v>Lowland|700to900</v>
      </c>
      <c r="J63" s="100">
        <f t="shared" si="5"/>
        <v>0.09</v>
      </c>
      <c r="K63" s="100">
        <f t="shared" si="5"/>
        <v>13.36</v>
      </c>
      <c r="L63" s="100"/>
      <c r="M63" s="100"/>
    </row>
    <row r="64" spans="1:13" x14ac:dyDescent="0.35">
      <c r="A64" s="102" t="s">
        <v>176</v>
      </c>
      <c r="B64" s="102" t="s">
        <v>174</v>
      </c>
      <c r="C64" s="102" t="b">
        <v>0</v>
      </c>
      <c r="D64" s="102" t="s">
        <v>165</v>
      </c>
      <c r="E64" s="102" t="s">
        <v>167</v>
      </c>
      <c r="F64" s="3" t="str">
        <f t="shared" si="4"/>
        <v>Lowland|FALSE|700to900|DrainedAr</v>
      </c>
      <c r="G64" s="100">
        <v>0.19</v>
      </c>
      <c r="H64" s="100">
        <v>10.51</v>
      </c>
      <c r="I64" s="3" t="str">
        <f t="shared" si="2"/>
        <v>Lowland|700to900</v>
      </c>
      <c r="J64" s="100">
        <f t="shared" si="5"/>
        <v>0.19</v>
      </c>
      <c r="K64" s="100">
        <f t="shared" si="5"/>
        <v>10.51</v>
      </c>
      <c r="L64" s="100"/>
      <c r="M64" s="100"/>
    </row>
    <row r="65" spans="1:13" x14ac:dyDescent="0.35">
      <c r="A65" s="102" t="s">
        <v>176</v>
      </c>
      <c r="B65" s="102" t="s">
        <v>174</v>
      </c>
      <c r="C65" s="102" t="b">
        <v>1</v>
      </c>
      <c r="D65" s="102" t="s">
        <v>165</v>
      </c>
      <c r="E65" s="102" t="s">
        <v>167</v>
      </c>
      <c r="F65" s="3" t="str">
        <f t="shared" si="4"/>
        <v>Lowland|TRUE|700to900|DrainedAr</v>
      </c>
      <c r="G65" s="100">
        <v>0.19</v>
      </c>
      <c r="H65" s="100">
        <v>10.44</v>
      </c>
      <c r="I65" s="3" t="str">
        <f t="shared" si="2"/>
        <v>Lowland|700to900</v>
      </c>
      <c r="J65" s="100">
        <f t="shared" si="5"/>
        <v>0.19</v>
      </c>
      <c r="K65" s="100">
        <f t="shared" si="5"/>
        <v>10.44</v>
      </c>
      <c r="L65" s="100"/>
      <c r="M65" s="100"/>
    </row>
    <row r="66" spans="1:13" x14ac:dyDescent="0.35">
      <c r="A66" s="102" t="s">
        <v>176</v>
      </c>
      <c r="B66" s="102" t="s">
        <v>174</v>
      </c>
      <c r="C66" s="102" t="b">
        <v>0</v>
      </c>
      <c r="D66" s="102" t="s">
        <v>165</v>
      </c>
      <c r="E66" s="102" t="s">
        <v>168</v>
      </c>
      <c r="F66" s="3" t="str">
        <f t="shared" si="4"/>
        <v>Lowland|FALSE|700to900|DrainedArGr</v>
      </c>
      <c r="G66" s="100">
        <v>0.62</v>
      </c>
      <c r="H66" s="100">
        <v>7.3</v>
      </c>
      <c r="I66" s="3" t="str">
        <f t="shared" si="2"/>
        <v>Lowland|700to900</v>
      </c>
      <c r="J66" s="100">
        <f t="shared" si="5"/>
        <v>0.62</v>
      </c>
      <c r="K66" s="100">
        <f t="shared" si="5"/>
        <v>7.3</v>
      </c>
      <c r="L66" s="100"/>
      <c r="M66" s="100"/>
    </row>
    <row r="67" spans="1:13" x14ac:dyDescent="0.35">
      <c r="A67" s="102" t="s">
        <v>176</v>
      </c>
      <c r="B67" s="102" t="s">
        <v>174</v>
      </c>
      <c r="C67" s="102" t="b">
        <v>1</v>
      </c>
      <c r="D67" s="102" t="s">
        <v>165</v>
      </c>
      <c r="E67" s="102" t="s">
        <v>168</v>
      </c>
      <c r="F67" s="3" t="str">
        <f t="shared" si="4"/>
        <v>Lowland|TRUE|700to900|DrainedArGr</v>
      </c>
      <c r="G67" s="100">
        <v>0.62</v>
      </c>
      <c r="H67" s="100">
        <v>7.28</v>
      </c>
      <c r="I67" s="3" t="str">
        <f t="shared" si="2"/>
        <v>Lowland|700to900</v>
      </c>
      <c r="J67" s="100">
        <f t="shared" si="5"/>
        <v>0.62</v>
      </c>
      <c r="K67" s="100">
        <f t="shared" si="5"/>
        <v>7.28</v>
      </c>
      <c r="L67" s="100"/>
      <c r="M67" s="100"/>
    </row>
    <row r="68" spans="1:13" x14ac:dyDescent="0.35">
      <c r="A68" s="102" t="s">
        <v>176</v>
      </c>
      <c r="B68" s="102" t="s">
        <v>174</v>
      </c>
      <c r="C68" s="102" t="b">
        <v>1</v>
      </c>
      <c r="D68" s="102" t="s">
        <v>169</v>
      </c>
      <c r="E68" s="102" t="s">
        <v>167</v>
      </c>
      <c r="F68" s="3" t="str">
        <f t="shared" si="4"/>
        <v>Lowland|TRUE|900to1200|DrainedAr</v>
      </c>
      <c r="G68" s="100">
        <v>0.34</v>
      </c>
      <c r="H68" s="100">
        <v>13.18</v>
      </c>
      <c r="I68" s="3" t="str">
        <f t="shared" si="2"/>
        <v>Lowland|900to1200</v>
      </c>
      <c r="J68" s="100">
        <f t="shared" si="5"/>
        <v>0.34</v>
      </c>
      <c r="K68" s="100">
        <f t="shared" si="5"/>
        <v>13.18</v>
      </c>
      <c r="L68" s="100"/>
      <c r="M68" s="100"/>
    </row>
    <row r="69" spans="1:13" x14ac:dyDescent="0.35">
      <c r="A69" s="102" t="s">
        <v>176</v>
      </c>
      <c r="B69" s="102" t="s">
        <v>174</v>
      </c>
      <c r="C69" s="102" t="b">
        <v>1</v>
      </c>
      <c r="D69" s="102" t="s">
        <v>169</v>
      </c>
      <c r="E69" s="102" t="s">
        <v>168</v>
      </c>
      <c r="F69" s="3" t="str">
        <f t="shared" si="4"/>
        <v>Lowland|TRUE|900to1200|DrainedArGr</v>
      </c>
      <c r="G69" s="100">
        <v>1.04</v>
      </c>
      <c r="H69" s="100">
        <v>9.6</v>
      </c>
      <c r="I69" s="3" t="str">
        <f t="shared" si="2"/>
        <v>Lowland|900to1200</v>
      </c>
      <c r="J69" s="100">
        <f t="shared" si="5"/>
        <v>1.04</v>
      </c>
      <c r="K69" s="100">
        <f t="shared" si="5"/>
        <v>9.6</v>
      </c>
      <c r="L69" s="100"/>
      <c r="M69" s="100"/>
    </row>
    <row r="70" spans="1:13" x14ac:dyDescent="0.35">
      <c r="A70" s="102" t="s">
        <v>176</v>
      </c>
      <c r="B70" s="102" t="s">
        <v>175</v>
      </c>
      <c r="C70" s="102" t="b">
        <v>1</v>
      </c>
      <c r="D70" s="102" t="s">
        <v>165</v>
      </c>
      <c r="E70" s="102" t="s">
        <v>166</v>
      </c>
      <c r="F70" s="3" t="str">
        <f t="shared" si="4"/>
        <v>Mixed|TRUE|700to900|FreeDrain</v>
      </c>
      <c r="G70" s="100">
        <v>0.12</v>
      </c>
      <c r="H70" s="100">
        <v>25.46</v>
      </c>
      <c r="I70" s="3" t="str">
        <f t="shared" si="2"/>
        <v>Mixed|700to900</v>
      </c>
      <c r="J70" s="100">
        <f t="shared" si="5"/>
        <v>0.12</v>
      </c>
      <c r="K70" s="100">
        <f t="shared" si="5"/>
        <v>25.46</v>
      </c>
      <c r="L70" s="100"/>
      <c r="M70" s="100"/>
    </row>
    <row r="71" spans="1:13" x14ac:dyDescent="0.35">
      <c r="A71" s="102" t="s">
        <v>176</v>
      </c>
      <c r="B71" s="102" t="s">
        <v>175</v>
      </c>
      <c r="C71" s="102" t="b">
        <v>1</v>
      </c>
      <c r="D71" s="102" t="s">
        <v>165</v>
      </c>
      <c r="E71" s="102" t="s">
        <v>168</v>
      </c>
      <c r="F71" s="3" t="str">
        <f t="shared" si="4"/>
        <v>Mixed|TRUE|700to900|DrainedArGr</v>
      </c>
      <c r="G71" s="100">
        <v>0.83</v>
      </c>
      <c r="H71" s="100">
        <v>15.87</v>
      </c>
      <c r="I71" s="3" t="str">
        <f t="shared" si="2"/>
        <v>Mixed|700to900</v>
      </c>
      <c r="J71" s="100">
        <f t="shared" si="5"/>
        <v>0.83</v>
      </c>
      <c r="K71" s="100">
        <f t="shared" si="5"/>
        <v>15.87</v>
      </c>
      <c r="L71" s="100"/>
      <c r="M71" s="100"/>
    </row>
    <row r="72" spans="1:13" x14ac:dyDescent="0.35">
      <c r="A72" s="102" t="s">
        <v>176</v>
      </c>
      <c r="B72" s="102" t="s">
        <v>175</v>
      </c>
      <c r="C72" s="102" t="b">
        <v>1</v>
      </c>
      <c r="D72" s="102" t="s">
        <v>169</v>
      </c>
      <c r="E72" s="102" t="s">
        <v>167</v>
      </c>
      <c r="F72" s="3" t="str">
        <f t="shared" si="4"/>
        <v>Mixed|TRUE|900to1200|DrainedAr</v>
      </c>
      <c r="G72" s="100">
        <v>0.84</v>
      </c>
      <c r="H72" s="100">
        <v>24.25</v>
      </c>
      <c r="I72" s="3" t="str">
        <f t="shared" si="2"/>
        <v>Mixed|900to1200</v>
      </c>
      <c r="J72" s="100">
        <f t="shared" si="5"/>
        <v>0.84</v>
      </c>
      <c r="K72" s="100">
        <f t="shared" si="5"/>
        <v>24.25</v>
      </c>
      <c r="L72" s="100"/>
      <c r="M72" s="100"/>
    </row>
    <row r="73" spans="1:13" x14ac:dyDescent="0.35">
      <c r="A73" s="102" t="s">
        <v>176</v>
      </c>
      <c r="B73" s="102" t="s">
        <v>175</v>
      </c>
      <c r="C73" s="102" t="b">
        <v>1</v>
      </c>
      <c r="D73" s="102" t="s">
        <v>169</v>
      </c>
      <c r="E73" s="102" t="s">
        <v>168</v>
      </c>
      <c r="F73" s="3" t="str">
        <f t="shared" si="4"/>
        <v>Mixed|TRUE|900to1200|DrainedArGr</v>
      </c>
      <c r="G73" s="100">
        <v>1.36</v>
      </c>
      <c r="H73" s="100">
        <v>18.760000000000002</v>
      </c>
      <c r="I73" s="3" t="str">
        <f t="shared" si="2"/>
        <v>Mixed|900to1200</v>
      </c>
      <c r="J73" s="100">
        <f t="shared" si="5"/>
        <v>1.36</v>
      </c>
      <c r="K73" s="100">
        <f t="shared" si="5"/>
        <v>18.760000000000002</v>
      </c>
      <c r="L73" s="100"/>
      <c r="M73" s="100"/>
    </row>
    <row r="74" spans="1:13" x14ac:dyDescent="0.35">
      <c r="A74" s="102" t="s">
        <v>178</v>
      </c>
      <c r="B74" s="102" t="s">
        <v>164</v>
      </c>
      <c r="C74" s="102" t="b">
        <v>1</v>
      </c>
      <c r="D74" s="102" t="s">
        <v>165</v>
      </c>
      <c r="E74" s="102" t="s">
        <v>166</v>
      </c>
      <c r="F74" s="3" t="str">
        <f t="shared" si="4"/>
        <v>Cereals|TRUE|700to900|FreeDrain</v>
      </c>
      <c r="G74" s="100">
        <v>0.09</v>
      </c>
      <c r="H74" s="100">
        <v>27.93</v>
      </c>
      <c r="I74" s="3" t="str">
        <f t="shared" si="2"/>
        <v>Cereals|700to900</v>
      </c>
      <c r="J74" s="100">
        <f t="shared" si="5"/>
        <v>0.09</v>
      </c>
      <c r="K74" s="100">
        <f t="shared" si="5"/>
        <v>27.93</v>
      </c>
      <c r="L74" s="100"/>
      <c r="M74" s="100"/>
    </row>
    <row r="75" spans="1:13" x14ac:dyDescent="0.35">
      <c r="A75" s="102" t="s">
        <v>178</v>
      </c>
      <c r="B75" s="102" t="s">
        <v>164</v>
      </c>
      <c r="C75" s="102" t="b">
        <v>1</v>
      </c>
      <c r="D75" s="102" t="s">
        <v>165</v>
      </c>
      <c r="E75" s="102" t="s">
        <v>167</v>
      </c>
      <c r="F75" s="3" t="str">
        <f t="shared" si="4"/>
        <v>Cereals|TRUE|700to900|DrainedAr</v>
      </c>
      <c r="G75" s="100">
        <v>0.67</v>
      </c>
      <c r="H75" s="100">
        <v>21.48</v>
      </c>
      <c r="I75" s="3" t="str">
        <f t="shared" si="2"/>
        <v>Cereals|700to900</v>
      </c>
      <c r="J75" s="100">
        <f>G75</f>
        <v>0.67</v>
      </c>
      <c r="K75" s="100">
        <f t="shared" si="5"/>
        <v>21.48</v>
      </c>
      <c r="L75" s="100"/>
      <c r="M75" s="100"/>
    </row>
    <row r="76" spans="1:13" x14ac:dyDescent="0.35">
      <c r="A76" s="102" t="s">
        <v>178</v>
      </c>
      <c r="B76" s="102" t="s">
        <v>164</v>
      </c>
      <c r="C76" s="102" t="b">
        <v>1</v>
      </c>
      <c r="D76" s="102" t="s">
        <v>169</v>
      </c>
      <c r="E76" s="102" t="s">
        <v>166</v>
      </c>
      <c r="F76" s="3" t="str">
        <f t="shared" si="4"/>
        <v>Cereals|TRUE|900to1200|FreeDrain</v>
      </c>
      <c r="G76" s="100">
        <v>0.15</v>
      </c>
      <c r="H76" s="100">
        <v>29.73</v>
      </c>
      <c r="I76" s="3" t="str">
        <f t="shared" si="2"/>
        <v>Cereals|900to1200</v>
      </c>
      <c r="J76" s="100">
        <f t="shared" si="5"/>
        <v>0.15</v>
      </c>
      <c r="K76" s="100">
        <f t="shared" si="5"/>
        <v>29.73</v>
      </c>
      <c r="L76" s="100"/>
      <c r="M76" s="100"/>
    </row>
    <row r="77" spans="1:13" x14ac:dyDescent="0.35">
      <c r="A77" s="102" t="s">
        <v>178</v>
      </c>
      <c r="B77" s="102" t="s">
        <v>170</v>
      </c>
      <c r="C77" s="102" t="b">
        <v>1</v>
      </c>
      <c r="D77" s="102" t="s">
        <v>165</v>
      </c>
      <c r="E77" s="102" t="s">
        <v>166</v>
      </c>
      <c r="F77" s="3" t="str">
        <f t="shared" si="4"/>
        <v>General|TRUE|700to900|FreeDrain</v>
      </c>
      <c r="G77" s="100">
        <v>7.0000000000000007E-2</v>
      </c>
      <c r="H77" s="100">
        <v>19.64</v>
      </c>
      <c r="I77" s="3" t="str">
        <f t="shared" si="2"/>
        <v>General|700to900</v>
      </c>
      <c r="J77" s="100">
        <f t="shared" si="5"/>
        <v>7.0000000000000007E-2</v>
      </c>
      <c r="K77" s="100">
        <f t="shared" si="5"/>
        <v>19.64</v>
      </c>
      <c r="L77" s="100"/>
      <c r="M77" s="100"/>
    </row>
    <row r="78" spans="1:13" x14ac:dyDescent="0.35">
      <c r="A78" s="102" t="s">
        <v>178</v>
      </c>
      <c r="B78" s="102" t="s">
        <v>170</v>
      </c>
      <c r="C78" s="102" t="b">
        <v>1</v>
      </c>
      <c r="D78" s="102" t="s">
        <v>165</v>
      </c>
      <c r="E78" s="102" t="s">
        <v>167</v>
      </c>
      <c r="F78" s="3" t="str">
        <f t="shared" si="4"/>
        <v>General|TRUE|700to900|DrainedAr</v>
      </c>
      <c r="G78" s="100">
        <v>0.45</v>
      </c>
      <c r="H78" s="100">
        <v>14.79</v>
      </c>
      <c r="I78" s="3" t="str">
        <f t="shared" si="2"/>
        <v>General|700to900</v>
      </c>
      <c r="J78" s="100">
        <f t="shared" si="5"/>
        <v>0.45</v>
      </c>
      <c r="K78" s="100">
        <f t="shared" si="5"/>
        <v>14.79</v>
      </c>
      <c r="L78" s="100"/>
      <c r="M78" s="100"/>
    </row>
    <row r="79" spans="1:13" x14ac:dyDescent="0.35">
      <c r="A79" s="102" t="s">
        <v>178</v>
      </c>
      <c r="B79" s="102" t="s">
        <v>170</v>
      </c>
      <c r="C79" s="102" t="b">
        <v>1</v>
      </c>
      <c r="D79" s="102" t="s">
        <v>169</v>
      </c>
      <c r="E79" s="102" t="s">
        <v>166</v>
      </c>
      <c r="F79" s="3" t="str">
        <f t="shared" si="4"/>
        <v>General|TRUE|900to1200|FreeDrain</v>
      </c>
      <c r="G79" s="100">
        <v>0.12</v>
      </c>
      <c r="H79" s="100">
        <v>21.1</v>
      </c>
      <c r="I79" s="3" t="str">
        <f t="shared" si="2"/>
        <v>General|900to1200</v>
      </c>
      <c r="J79" s="100">
        <f t="shared" si="5"/>
        <v>0.12</v>
      </c>
      <c r="K79" s="100">
        <f t="shared" si="5"/>
        <v>21.1</v>
      </c>
      <c r="L79" s="100"/>
      <c r="M79" s="100"/>
    </row>
    <row r="80" spans="1:13" x14ac:dyDescent="0.35">
      <c r="A80" s="102" t="s">
        <v>178</v>
      </c>
      <c r="B80" s="102" t="s">
        <v>179</v>
      </c>
      <c r="C80" s="102" t="b">
        <v>1</v>
      </c>
      <c r="D80" s="102" t="s">
        <v>165</v>
      </c>
      <c r="E80" s="102" t="s">
        <v>166</v>
      </c>
      <c r="F80" s="3" t="str">
        <f t="shared" si="4"/>
        <v>Hortic|TRUE|700to900|FreeDrain</v>
      </c>
      <c r="G80" s="100">
        <v>7.0000000000000007E-2</v>
      </c>
      <c r="H80" s="100">
        <v>21.02</v>
      </c>
      <c r="I80" s="3" t="str">
        <f t="shared" ref="I80:I89" si="6">B80&amp;"|"&amp;D80</f>
        <v>Hortic|700to900</v>
      </c>
      <c r="J80" s="100">
        <f t="shared" si="5"/>
        <v>7.0000000000000007E-2</v>
      </c>
      <c r="K80" s="100">
        <f t="shared" si="5"/>
        <v>21.02</v>
      </c>
      <c r="L80" s="100"/>
      <c r="M80" s="100"/>
    </row>
    <row r="81" spans="1:13" x14ac:dyDescent="0.35">
      <c r="A81" s="102" t="s">
        <v>178</v>
      </c>
      <c r="B81" s="102" t="s">
        <v>179</v>
      </c>
      <c r="C81" s="102" t="b">
        <v>1</v>
      </c>
      <c r="D81" s="102" t="s">
        <v>169</v>
      </c>
      <c r="E81" s="102" t="s">
        <v>166</v>
      </c>
      <c r="F81" s="3" t="str">
        <f t="shared" si="4"/>
        <v>Hortic|TRUE|900to1200|FreeDrain</v>
      </c>
      <c r="G81" s="100">
        <v>0.13</v>
      </c>
      <c r="H81" s="100">
        <v>22.64</v>
      </c>
      <c r="I81" s="3" t="str">
        <f t="shared" si="6"/>
        <v>Hortic|900to1200</v>
      </c>
      <c r="J81" s="100">
        <f t="shared" si="5"/>
        <v>0.13</v>
      </c>
      <c r="K81" s="100">
        <f t="shared" si="5"/>
        <v>22.64</v>
      </c>
      <c r="L81" s="100"/>
      <c r="M81" s="100"/>
    </row>
    <row r="82" spans="1:13" x14ac:dyDescent="0.35">
      <c r="A82" s="102" t="s">
        <v>178</v>
      </c>
      <c r="B82" s="102" t="s">
        <v>177</v>
      </c>
      <c r="C82" s="102" t="b">
        <v>1</v>
      </c>
      <c r="D82" s="102" t="s">
        <v>165</v>
      </c>
      <c r="E82" s="102" t="s">
        <v>166</v>
      </c>
      <c r="F82" s="3" t="str">
        <f t="shared" si="4"/>
        <v>Pig|TRUE|700to900|FreeDrain</v>
      </c>
      <c r="G82" s="100">
        <v>0.08</v>
      </c>
      <c r="H82" s="100">
        <v>63.94</v>
      </c>
      <c r="I82" s="3" t="str">
        <f t="shared" si="6"/>
        <v>Pig|700to900</v>
      </c>
      <c r="J82" s="100">
        <f t="shared" si="5"/>
        <v>0.08</v>
      </c>
      <c r="K82" s="100">
        <f t="shared" si="5"/>
        <v>63.94</v>
      </c>
      <c r="L82" s="100"/>
      <c r="M82" s="100"/>
    </row>
    <row r="83" spans="1:13" x14ac:dyDescent="0.35">
      <c r="A83" s="102" t="s">
        <v>178</v>
      </c>
      <c r="B83" s="102" t="s">
        <v>172</v>
      </c>
      <c r="C83" s="102" t="b">
        <v>1</v>
      </c>
      <c r="D83" s="102" t="s">
        <v>165</v>
      </c>
      <c r="E83" s="102" t="s">
        <v>166</v>
      </c>
      <c r="F83" s="3" t="str">
        <f t="shared" si="4"/>
        <v>Poultry|TRUE|700to900|FreeDrain</v>
      </c>
      <c r="G83" s="100">
        <v>7.0000000000000007E-2</v>
      </c>
      <c r="H83" s="100">
        <v>68.61</v>
      </c>
      <c r="I83" s="3" t="str">
        <f t="shared" si="6"/>
        <v>Poultry|700to900</v>
      </c>
      <c r="J83" s="100">
        <f t="shared" si="5"/>
        <v>7.0000000000000007E-2</v>
      </c>
      <c r="K83" s="100">
        <f t="shared" si="5"/>
        <v>68.61</v>
      </c>
      <c r="L83" s="100"/>
      <c r="M83" s="100"/>
    </row>
    <row r="84" spans="1:13" x14ac:dyDescent="0.35">
      <c r="A84" s="102" t="s">
        <v>178</v>
      </c>
      <c r="B84" s="102" t="s">
        <v>173</v>
      </c>
      <c r="C84" s="102" t="b">
        <v>1</v>
      </c>
      <c r="D84" s="102" t="s">
        <v>165</v>
      </c>
      <c r="E84" s="102" t="s">
        <v>166</v>
      </c>
      <c r="F84" s="3" t="str">
        <f t="shared" si="4"/>
        <v>Dairy|TRUE|700to900|FreeDrain</v>
      </c>
      <c r="G84" s="100">
        <v>0.08</v>
      </c>
      <c r="H84" s="100">
        <v>41.23</v>
      </c>
      <c r="I84" s="3" t="str">
        <f t="shared" si="6"/>
        <v>Dairy|700to900</v>
      </c>
      <c r="J84" s="100">
        <f t="shared" si="5"/>
        <v>0.08</v>
      </c>
      <c r="K84" s="100">
        <f t="shared" si="5"/>
        <v>41.23</v>
      </c>
      <c r="L84" s="100"/>
      <c r="M84" s="100"/>
    </row>
    <row r="85" spans="1:13" x14ac:dyDescent="0.35">
      <c r="A85" s="102" t="s">
        <v>178</v>
      </c>
      <c r="B85" s="102" t="s">
        <v>174</v>
      </c>
      <c r="C85" s="102" t="b">
        <v>1</v>
      </c>
      <c r="D85" s="102" t="s">
        <v>165</v>
      </c>
      <c r="E85" s="102" t="s">
        <v>166</v>
      </c>
      <c r="F85" s="3" t="str">
        <f t="shared" si="4"/>
        <v>Lowland|TRUE|700to900|FreeDrain</v>
      </c>
      <c r="G85" s="100">
        <v>0.05</v>
      </c>
      <c r="H85" s="100">
        <v>11.74</v>
      </c>
      <c r="I85" s="3" t="str">
        <f t="shared" si="6"/>
        <v>Lowland|700to900</v>
      </c>
      <c r="J85" s="100">
        <f t="shared" si="5"/>
        <v>0.05</v>
      </c>
      <c r="K85" s="100">
        <f t="shared" si="5"/>
        <v>11.74</v>
      </c>
      <c r="L85" s="100"/>
      <c r="M85" s="100"/>
    </row>
    <row r="86" spans="1:13" x14ac:dyDescent="0.35">
      <c r="A86" s="102" t="s">
        <v>178</v>
      </c>
      <c r="B86" s="102" t="s">
        <v>174</v>
      </c>
      <c r="C86" s="102" t="b">
        <v>1</v>
      </c>
      <c r="D86" s="102" t="s">
        <v>165</v>
      </c>
      <c r="E86" s="102" t="s">
        <v>167</v>
      </c>
      <c r="F86" s="3" t="str">
        <f t="shared" si="4"/>
        <v>Lowland|TRUE|700to900|DrainedAr</v>
      </c>
      <c r="G86" s="100">
        <v>0.15</v>
      </c>
      <c r="H86" s="100">
        <v>9.09</v>
      </c>
      <c r="I86" s="3" t="str">
        <f t="shared" si="6"/>
        <v>Lowland|700to900</v>
      </c>
      <c r="J86" s="100">
        <f t="shared" si="5"/>
        <v>0.15</v>
      </c>
      <c r="K86" s="100">
        <f t="shared" si="5"/>
        <v>9.09</v>
      </c>
      <c r="L86" s="100"/>
      <c r="M86" s="100"/>
    </row>
    <row r="87" spans="1:13" x14ac:dyDescent="0.35">
      <c r="A87" s="102" t="s">
        <v>178</v>
      </c>
      <c r="B87" s="102" t="s">
        <v>174</v>
      </c>
      <c r="C87" s="102" t="b">
        <v>1</v>
      </c>
      <c r="D87" s="102" t="s">
        <v>169</v>
      </c>
      <c r="E87" s="102" t="s">
        <v>166</v>
      </c>
      <c r="F87" s="3" t="str">
        <f t="shared" si="4"/>
        <v>Lowland|TRUE|900to1200|FreeDrain</v>
      </c>
      <c r="G87" s="100">
        <v>0.09</v>
      </c>
      <c r="H87" s="100">
        <v>12.65</v>
      </c>
      <c r="I87" s="3" t="str">
        <f t="shared" si="6"/>
        <v>Lowland|900to1200</v>
      </c>
      <c r="J87" s="100">
        <f t="shared" si="5"/>
        <v>0.09</v>
      </c>
      <c r="K87" s="100">
        <f t="shared" si="5"/>
        <v>12.65</v>
      </c>
      <c r="L87" s="100"/>
      <c r="M87" s="100"/>
    </row>
    <row r="88" spans="1:13" x14ac:dyDescent="0.35">
      <c r="A88" s="102" t="s">
        <v>178</v>
      </c>
      <c r="B88" s="102" t="s">
        <v>175</v>
      </c>
      <c r="C88" s="102" t="b">
        <v>1</v>
      </c>
      <c r="D88" s="102" t="s">
        <v>165</v>
      </c>
      <c r="E88" s="102" t="s">
        <v>166</v>
      </c>
      <c r="F88" s="3" t="str">
        <f t="shared" si="4"/>
        <v>Mixed|TRUE|700to900|FreeDrain</v>
      </c>
      <c r="G88" s="100">
        <v>0.08</v>
      </c>
      <c r="H88" s="100">
        <v>24.27</v>
      </c>
      <c r="I88" s="3" t="str">
        <f t="shared" si="6"/>
        <v>Mixed|700to900</v>
      </c>
      <c r="J88" s="100">
        <f t="shared" si="5"/>
        <v>0.08</v>
      </c>
      <c r="K88" s="100">
        <f t="shared" si="5"/>
        <v>24.27</v>
      </c>
      <c r="L88" s="100"/>
      <c r="M88" s="100"/>
    </row>
    <row r="89" spans="1:13" x14ac:dyDescent="0.35">
      <c r="A89" s="102" t="s">
        <v>178</v>
      </c>
      <c r="B89" s="102" t="s">
        <v>175</v>
      </c>
      <c r="C89" s="102" t="b">
        <v>1</v>
      </c>
      <c r="D89" s="102" t="s">
        <v>169</v>
      </c>
      <c r="E89" s="102" t="s">
        <v>166</v>
      </c>
      <c r="F89" s="3" t="str">
        <f t="shared" si="4"/>
        <v>Mixed|TRUE|900to1200|FreeDrain</v>
      </c>
      <c r="G89" s="100">
        <v>0.13</v>
      </c>
      <c r="H89" s="100">
        <v>25.84</v>
      </c>
      <c r="I89" s="3" t="str">
        <f t="shared" si="6"/>
        <v>Mixed|900to1200</v>
      </c>
      <c r="J89" s="100">
        <f t="shared" si="5"/>
        <v>0.13</v>
      </c>
      <c r="K89" s="100">
        <f t="shared" si="5"/>
        <v>25.84</v>
      </c>
      <c r="L89" s="100"/>
      <c r="M89" s="100"/>
    </row>
    <row r="90" spans="1:13" x14ac:dyDescent="0.35">
      <c r="A90" s="102" t="s">
        <v>180</v>
      </c>
      <c r="B90" s="102" t="s">
        <v>180</v>
      </c>
      <c r="C90" s="102" t="s">
        <v>180</v>
      </c>
      <c r="D90" s="102" t="s">
        <v>180</v>
      </c>
      <c r="E90" s="99" t="s">
        <v>181</v>
      </c>
      <c r="F90" s="3" t="str">
        <f>"|"&amp;"|"&amp;"|"&amp;E90</f>
        <v>|||Greenspace</v>
      </c>
      <c r="G90" s="103">
        <v>0.02</v>
      </c>
      <c r="H90" s="100">
        <v>3</v>
      </c>
      <c r="I90" s="3"/>
      <c r="J90" s="3"/>
      <c r="K90" s="3"/>
      <c r="L90" s="3"/>
      <c r="M90" s="3"/>
    </row>
    <row r="91" spans="1:13" x14ac:dyDescent="0.35">
      <c r="A91" s="102" t="s">
        <v>180</v>
      </c>
      <c r="B91" s="102" t="s">
        <v>180</v>
      </c>
      <c r="C91" s="102" t="s">
        <v>180</v>
      </c>
      <c r="D91" s="102" t="s">
        <v>180</v>
      </c>
      <c r="E91" s="99" t="s">
        <v>182</v>
      </c>
      <c r="F91" s="3" t="str">
        <f>"|"&amp;"|"&amp;"|"&amp;E91</f>
        <v>|||Community food growing</v>
      </c>
      <c r="G91" s="21">
        <f>IFERROR(VLOOKUP((VLOOKUP(Nutrients_from_current_land_use!$B$5,Value_look_up_tables!$A$127:$B$127,2,FALSE)&amp;"|"&amp;"General"&amp;"|"&amp;"FALSE"&amp;"|"&amp;VLOOKUP(Nutrients_from_current_land_use!$B$7,Value_look_up_tables!$A$101:$C$123,3,FALSE)&amp;"|"&amp;"FreeDrain"),$F$16:$H$89,2,FALSE), IFERROR(VLOOKUP("General"&amp;"|"&amp;VLOOKUP(Nutrients_from_current_land_use!$B$7,Value_look_up_tables!$A$101:$C$123,3,FALSE),$I$16:$M$89,2,FALSE),VLOOKUP("General",$B$16:$M$89,11,FALSE)))</f>
        <v>0.36</v>
      </c>
      <c r="H91" s="21">
        <f>IFERROR(VLOOKUP((VLOOKUP(Nutrients_from_current_land_use!$B$5,$A$127:$B$127,2,FALSE)&amp;"|"&amp;"General"&amp;"|"&amp;"FALSE"&amp;"|"&amp;VLOOKUP(Nutrients_from_current_land_use!$B$7,$A$101:$C$123,3,FALSE)&amp;"|"&amp;"FreeDrain"),$F$16:$H$89,3,FALSE), IFERROR(VLOOKUP("General"&amp;"|"&amp;VLOOKUP(Nutrients_from_current_land_use!$B$7,$A$101:$C$123,3,FALSE),$I$16:$M$89,3,FALSE),VLOOKUP("General",$B$16:$M$89,12,FALSE)))</f>
        <v>18.954999999999998</v>
      </c>
      <c r="I91" s="3"/>
      <c r="J91" s="3"/>
      <c r="K91" s="3"/>
      <c r="L91" s="3"/>
      <c r="M91" s="3"/>
    </row>
    <row r="92" spans="1:13" x14ac:dyDescent="0.35">
      <c r="A92" s="102" t="s">
        <v>180</v>
      </c>
      <c r="B92" s="102" t="s">
        <v>180</v>
      </c>
      <c r="C92" s="102" t="s">
        <v>180</v>
      </c>
      <c r="D92" s="102" t="s">
        <v>180</v>
      </c>
      <c r="E92" s="99" t="s">
        <v>183</v>
      </c>
      <c r="F92" s="3" t="str">
        <f>"|"&amp;"|"&amp;"|"&amp;E92</f>
        <v>|||Woodland</v>
      </c>
      <c r="G92" s="103">
        <v>0.02</v>
      </c>
      <c r="H92" s="100">
        <v>3</v>
      </c>
      <c r="I92" s="3"/>
      <c r="J92" s="3"/>
      <c r="K92" s="3"/>
      <c r="L92" s="3"/>
      <c r="M92" s="3"/>
    </row>
    <row r="93" spans="1:13" x14ac:dyDescent="0.35">
      <c r="A93" s="102" t="s">
        <v>180</v>
      </c>
      <c r="B93" s="102" t="s">
        <v>180</v>
      </c>
      <c r="C93" s="102" t="s">
        <v>180</v>
      </c>
      <c r="D93" s="102" t="s">
        <v>180</v>
      </c>
      <c r="E93" s="99" t="s">
        <v>184</v>
      </c>
      <c r="F93" s="3" t="str">
        <f>"|"&amp;"|"&amp;"|"&amp;E93</f>
        <v>|||Shrub</v>
      </c>
      <c r="G93" s="103">
        <v>0.02</v>
      </c>
      <c r="H93" s="100">
        <v>3</v>
      </c>
      <c r="I93" s="3"/>
      <c r="J93" s="3"/>
      <c r="K93" s="3"/>
      <c r="L93" s="3"/>
      <c r="M93" s="3"/>
    </row>
    <row r="94" spans="1:13" x14ac:dyDescent="0.35">
      <c r="A94" s="102" t="s">
        <v>180</v>
      </c>
      <c r="B94" s="102" t="s">
        <v>180</v>
      </c>
      <c r="C94" s="102" t="s">
        <v>180</v>
      </c>
      <c r="D94" s="102" t="s">
        <v>180</v>
      </c>
      <c r="E94" s="99" t="s">
        <v>185</v>
      </c>
      <c r="F94" s="3" t="str">
        <f>"|"&amp;"|"&amp;"|"&amp;E94</f>
        <v>|||Water</v>
      </c>
      <c r="G94" s="103">
        <v>0</v>
      </c>
      <c r="H94" s="100">
        <v>0</v>
      </c>
      <c r="I94" s="3"/>
      <c r="J94" s="3"/>
      <c r="K94" s="3"/>
      <c r="L94" s="3"/>
      <c r="M94" s="3"/>
    </row>
    <row r="95" spans="1:13" x14ac:dyDescent="0.35">
      <c r="A95" s="102" t="s">
        <v>180</v>
      </c>
      <c r="B95" s="102" t="s">
        <v>180</v>
      </c>
      <c r="C95" s="102" t="s">
        <v>180</v>
      </c>
      <c r="D95" s="102" t="s">
        <v>180</v>
      </c>
      <c r="E95" s="3" t="s">
        <v>186</v>
      </c>
      <c r="F95" s="3" t="str">
        <f t="shared" ref="F95:F97" si="7">"|"&amp;"|"&amp;"|"&amp;E95</f>
        <v>|||Residential urban land</v>
      </c>
      <c r="G95" s="100" t="e">
        <f>VLOOKUP(Nutrients_from_current_land_use!B7,Value_look_up_tables!A101:F123,6,FALSE)</f>
        <v>#N/A</v>
      </c>
      <c r="H95" s="100" t="e">
        <f>VLOOKUP(Nutrients_from_current_land_use!B7,Value_look_up_tables!A101:I123,9,FALSE)</f>
        <v>#N/A</v>
      </c>
      <c r="I95" s="3"/>
      <c r="J95" s="3"/>
      <c r="K95" s="3"/>
      <c r="L95" s="3"/>
      <c r="M95" s="3"/>
    </row>
    <row r="96" spans="1:13" ht="31" x14ac:dyDescent="0.35">
      <c r="A96" s="102" t="s">
        <v>180</v>
      </c>
      <c r="B96" s="102" t="s">
        <v>180</v>
      </c>
      <c r="C96" s="102" t="s">
        <v>180</v>
      </c>
      <c r="D96" s="102" t="s">
        <v>180</v>
      </c>
      <c r="E96" s="3" t="s">
        <v>187</v>
      </c>
      <c r="F96" s="3" t="str">
        <f t="shared" si="7"/>
        <v>|||Commercial/industrial urban land</v>
      </c>
      <c r="G96" s="100" t="e">
        <f>VLOOKUP(Nutrients_from_current_land_use!B7,Value_look_up_tables!A101:G123,7,FALSE)</f>
        <v>#N/A</v>
      </c>
      <c r="H96" s="100" t="e">
        <f>VLOOKUP(Nutrients_from_current_land_use!B7,Value_look_up_tables!A101:K123,10,FALSE)</f>
        <v>#N/A</v>
      </c>
      <c r="I96" s="3"/>
      <c r="J96" s="3"/>
      <c r="K96" s="3"/>
      <c r="L96" s="3"/>
      <c r="M96" s="3"/>
    </row>
    <row r="97" spans="1:13" x14ac:dyDescent="0.35">
      <c r="A97" s="102" t="s">
        <v>180</v>
      </c>
      <c r="B97" s="102" t="s">
        <v>180</v>
      </c>
      <c r="C97" s="102" t="s">
        <v>180</v>
      </c>
      <c r="D97" s="102" t="s">
        <v>180</v>
      </c>
      <c r="E97" s="3" t="s">
        <v>188</v>
      </c>
      <c r="F97" s="3" t="str">
        <f t="shared" si="7"/>
        <v>|||Open urban land</v>
      </c>
      <c r="G97" s="100" t="e">
        <f>VLOOKUP(Nutrients_from_current_land_use!B7,Value_look_up_tables!A101:H123,8,FALSE)</f>
        <v>#N/A</v>
      </c>
      <c r="H97" s="100" t="e">
        <f>VLOOKUP(Nutrients_from_current_land_use!B7,Value_look_up_tables!A101:N123,11,FALSE)</f>
        <v>#N/A</v>
      </c>
      <c r="I97" s="3"/>
      <c r="J97" s="3"/>
      <c r="K97" s="3"/>
      <c r="L97" s="3"/>
      <c r="M97" s="3"/>
    </row>
    <row r="98" spans="1:13" x14ac:dyDescent="0.35">
      <c r="A98" s="3"/>
      <c r="B98" s="3"/>
      <c r="C98" s="3"/>
      <c r="D98" s="3"/>
      <c r="E98" s="3"/>
      <c r="F98" s="3"/>
      <c r="G98" s="100"/>
      <c r="H98" s="100"/>
      <c r="I98" s="3"/>
      <c r="J98" s="3"/>
      <c r="K98" s="3"/>
      <c r="L98" s="3"/>
      <c r="M98" s="3"/>
    </row>
    <row r="99" spans="1:13" ht="43.5" customHeight="1" x14ac:dyDescent="0.35">
      <c r="A99" s="20" t="s">
        <v>189</v>
      </c>
      <c r="B99" s="3"/>
      <c r="C99" s="3"/>
      <c r="D99" s="3"/>
      <c r="E99" s="3"/>
      <c r="F99" s="3"/>
      <c r="G99" s="100"/>
      <c r="H99" s="100"/>
      <c r="I99" s="3"/>
      <c r="J99" s="3"/>
      <c r="K99" s="3"/>
      <c r="L99" s="3"/>
      <c r="M99" s="3"/>
    </row>
    <row r="100" spans="1:13" ht="62" x14ac:dyDescent="0.35">
      <c r="A100" s="19" t="s">
        <v>190</v>
      </c>
      <c r="B100" s="19" t="s">
        <v>191</v>
      </c>
      <c r="C100" s="19" t="s">
        <v>192</v>
      </c>
      <c r="D100" s="19" t="s">
        <v>193</v>
      </c>
      <c r="E100" s="19" t="s">
        <v>194</v>
      </c>
      <c r="F100" s="19" t="s">
        <v>195</v>
      </c>
      <c r="G100" s="19" t="s">
        <v>196</v>
      </c>
      <c r="H100" s="19" t="s">
        <v>197</v>
      </c>
      <c r="I100" s="19" t="s">
        <v>198</v>
      </c>
      <c r="J100" s="19" t="s">
        <v>199</v>
      </c>
      <c r="K100" s="19" t="s">
        <v>200</v>
      </c>
      <c r="L100" s="19"/>
      <c r="M100" s="19"/>
    </row>
    <row r="101" spans="1:13" x14ac:dyDescent="0.35">
      <c r="A101" s="2" t="s">
        <v>201</v>
      </c>
      <c r="B101" s="21">
        <v>516.5</v>
      </c>
      <c r="C101" s="2" t="s">
        <v>202</v>
      </c>
      <c r="D101" s="21">
        <v>47.366326420209788</v>
      </c>
      <c r="E101" s="21">
        <v>63.946326420209786</v>
      </c>
      <c r="F101" s="21">
        <v>1.0030530114375726</v>
      </c>
      <c r="G101" s="21">
        <v>0.73394122788115068</v>
      </c>
      <c r="H101" s="21">
        <v>0.5382235671128438</v>
      </c>
      <c r="I101" s="21">
        <v>9.4130591148709328</v>
      </c>
      <c r="J101" s="21">
        <v>5.0202981945978298</v>
      </c>
      <c r="K101" s="21">
        <v>5.5487506361344439</v>
      </c>
      <c r="L101" s="21"/>
      <c r="M101" s="21"/>
    </row>
    <row r="102" spans="1:13" x14ac:dyDescent="0.35">
      <c r="A102" s="2" t="s">
        <v>203</v>
      </c>
      <c r="B102" s="21">
        <v>537.54999999999995</v>
      </c>
      <c r="C102" s="2" t="s">
        <v>202</v>
      </c>
      <c r="D102" s="21">
        <v>47.605509573313697</v>
      </c>
      <c r="E102" s="21">
        <v>64.185509573313695</v>
      </c>
      <c r="F102" s="21">
        <v>1.049204008516526</v>
      </c>
      <c r="G102" s="21">
        <v>0.76771025013404326</v>
      </c>
      <c r="H102" s="21">
        <v>0.56298751676496517</v>
      </c>
      <c r="I102" s="21">
        <v>9.8333323912734105</v>
      </c>
      <c r="J102" s="21">
        <v>5.2444439420124853</v>
      </c>
      <c r="K102" s="21">
        <v>5.7964906727506413</v>
      </c>
      <c r="L102" s="21"/>
      <c r="M102" s="21"/>
    </row>
    <row r="103" spans="1:13" x14ac:dyDescent="0.35">
      <c r="A103" s="2" t="s">
        <v>204</v>
      </c>
      <c r="B103" s="21">
        <v>562.54999999999995</v>
      </c>
      <c r="C103" s="2" t="s">
        <v>202</v>
      </c>
      <c r="D103" s="21">
        <v>47.8624816470968</v>
      </c>
      <c r="E103" s="21">
        <v>64.442481647096798</v>
      </c>
      <c r="F103" s="21">
        <v>1.1039266010735462</v>
      </c>
      <c r="G103" s="21">
        <v>0.80775117151722908</v>
      </c>
      <c r="H103" s="21">
        <v>0.59235085911263463</v>
      </c>
      <c r="I103" s="21">
        <v>10.331853644413675</v>
      </c>
      <c r="J103" s="21">
        <v>5.5103219436872939</v>
      </c>
      <c r="K103" s="21">
        <v>6.0903558324964822</v>
      </c>
      <c r="L103" s="21"/>
      <c r="M103" s="21"/>
    </row>
    <row r="104" spans="1:13" x14ac:dyDescent="0.35">
      <c r="A104" s="2" t="s">
        <v>205</v>
      </c>
      <c r="B104" s="21">
        <v>587.54999999999995</v>
      </c>
      <c r="C104" s="2" t="s">
        <v>202</v>
      </c>
      <c r="D104" s="21">
        <v>48.089720428979902</v>
      </c>
      <c r="E104" s="21">
        <v>64.6697204289799</v>
      </c>
      <c r="F104" s="21">
        <v>1.1584597247599329</v>
      </c>
      <c r="G104" s="21">
        <v>0.84765345714141427</v>
      </c>
      <c r="H104" s="21">
        <v>0.62161253523703719</v>
      </c>
      <c r="I104" s="21">
        <v>10.829057857843434</v>
      </c>
      <c r="J104" s="21">
        <v>5.775497524183165</v>
      </c>
      <c r="K104" s="21">
        <v>6.3834446319919191</v>
      </c>
      <c r="L104" s="21"/>
      <c r="M104" s="21"/>
    </row>
    <row r="105" spans="1:13" x14ac:dyDescent="0.35">
      <c r="A105" s="2" t="s">
        <v>206</v>
      </c>
      <c r="B105" s="21">
        <v>612.54999999999995</v>
      </c>
      <c r="C105" s="2" t="s">
        <v>207</v>
      </c>
      <c r="D105" s="21">
        <v>48.286892468962989</v>
      </c>
      <c r="E105" s="21">
        <v>64.866892468962988</v>
      </c>
      <c r="F105" s="21">
        <v>1.2127035752563942</v>
      </c>
      <c r="G105" s="21">
        <v>0.88734407945589822</v>
      </c>
      <c r="H105" s="21">
        <v>0.650718991600992</v>
      </c>
      <c r="I105" s="21">
        <v>11.324251269831036</v>
      </c>
      <c r="J105" s="21">
        <v>6.0396006772432189</v>
      </c>
      <c r="K105" s="21">
        <v>6.6753481169530309</v>
      </c>
      <c r="L105" s="21"/>
      <c r="M105" s="21"/>
    </row>
    <row r="106" spans="1:13" x14ac:dyDescent="0.35">
      <c r="A106" s="2" t="s">
        <v>208</v>
      </c>
      <c r="B106" s="21">
        <v>637.54999999999995</v>
      </c>
      <c r="C106" s="2" t="s">
        <v>207</v>
      </c>
      <c r="D106" s="21">
        <v>48.453664317046091</v>
      </c>
      <c r="E106" s="21">
        <v>65.033664317046089</v>
      </c>
      <c r="F106" s="21">
        <v>1.2665569810986419</v>
      </c>
      <c r="G106" s="21">
        <v>0.92674901055998193</v>
      </c>
      <c r="H106" s="21">
        <v>0.67961594107732015</v>
      </c>
      <c r="I106" s="21">
        <v>11.816730615319829</v>
      </c>
      <c r="J106" s="21">
        <v>6.302256328170575</v>
      </c>
      <c r="K106" s="21">
        <v>6.9656517311358979</v>
      </c>
      <c r="L106" s="21"/>
      <c r="M106" s="21"/>
    </row>
    <row r="107" spans="1:13" x14ac:dyDescent="0.35">
      <c r="A107" s="2" t="s">
        <v>209</v>
      </c>
      <c r="B107" s="21">
        <v>662.55</v>
      </c>
      <c r="C107" s="2" t="s">
        <v>207</v>
      </c>
      <c r="D107" s="21">
        <v>48.589702523229192</v>
      </c>
      <c r="E107" s="21">
        <v>65.169702523229191</v>
      </c>
      <c r="F107" s="21">
        <v>1.3199174036773855</v>
      </c>
      <c r="G107" s="21">
        <v>0.96579322220296504</v>
      </c>
      <c r="H107" s="21">
        <v>0.70824836294884108</v>
      </c>
      <c r="I107" s="21">
        <v>12.305783125928167</v>
      </c>
      <c r="J107" s="21">
        <v>6.5630843338283551</v>
      </c>
      <c r="K107" s="21">
        <v>7.2539353163366025</v>
      </c>
      <c r="L107" s="21"/>
      <c r="M107" s="21"/>
    </row>
    <row r="108" spans="1:13" x14ac:dyDescent="0.35">
      <c r="A108" s="2" t="s">
        <v>210</v>
      </c>
      <c r="B108" s="21">
        <v>687.55</v>
      </c>
      <c r="C108" s="2" t="s">
        <v>207</v>
      </c>
      <c r="D108" s="21">
        <v>48.694673637512295</v>
      </c>
      <c r="E108" s="21">
        <v>65.274673637512294</v>
      </c>
      <c r="F108" s="21">
        <v>1.3726809372383346</v>
      </c>
      <c r="G108" s="21">
        <v>1.0044006857841474</v>
      </c>
      <c r="H108" s="21">
        <v>0.73656050290837471</v>
      </c>
      <c r="I108" s="21">
        <v>12.790686529949399</v>
      </c>
      <c r="J108" s="21">
        <v>6.82169948263968</v>
      </c>
      <c r="K108" s="21">
        <v>7.5397731123912237</v>
      </c>
      <c r="L108" s="21"/>
      <c r="M108" s="21"/>
    </row>
    <row r="109" spans="1:13" x14ac:dyDescent="0.35">
      <c r="A109" s="2" t="s">
        <v>211</v>
      </c>
      <c r="B109" s="21">
        <v>725.05</v>
      </c>
      <c r="C109" s="2" t="s">
        <v>165</v>
      </c>
      <c r="D109" s="21">
        <v>48.793150089749446</v>
      </c>
      <c r="E109" s="21">
        <v>65.373150089749444</v>
      </c>
      <c r="F109" s="21">
        <v>1.4504764123754863</v>
      </c>
      <c r="G109" s="21">
        <v>1.0613242041771849</v>
      </c>
      <c r="H109" s="21">
        <v>0.77830441639660242</v>
      </c>
      <c r="I109" s="21">
        <v>13.508658704683258</v>
      </c>
      <c r="J109" s="21">
        <v>7.20461797583107</v>
      </c>
      <c r="K109" s="21">
        <v>7.9629988153922353</v>
      </c>
      <c r="L109" s="21"/>
      <c r="M109" s="21"/>
    </row>
    <row r="110" spans="1:13" x14ac:dyDescent="0.35">
      <c r="A110" s="2" t="s">
        <v>212</v>
      </c>
      <c r="B110" s="21">
        <v>775.05</v>
      </c>
      <c r="C110" s="2" t="s">
        <v>165</v>
      </c>
      <c r="D110" s="21">
        <v>48.817999999999984</v>
      </c>
      <c r="E110" s="21">
        <v>65.397999999999982</v>
      </c>
      <c r="F110" s="21">
        <v>1.5512920268999992</v>
      </c>
      <c r="G110" s="21">
        <v>1.1350917269999994</v>
      </c>
      <c r="H110" s="21">
        <v>0.83240059979999959</v>
      </c>
      <c r="I110" s="21">
        <v>14.445715171499996</v>
      </c>
      <c r="J110" s="21">
        <v>7.7043814247999975</v>
      </c>
      <c r="K110" s="21">
        <v>8.5153689431999986</v>
      </c>
      <c r="L110" s="21"/>
      <c r="M110" s="21"/>
    </row>
    <row r="111" spans="1:13" x14ac:dyDescent="0.35">
      <c r="A111" s="2" t="s">
        <v>213</v>
      </c>
      <c r="B111" s="21">
        <v>825.05</v>
      </c>
      <c r="C111" s="2" t="s">
        <v>165</v>
      </c>
      <c r="D111" s="21">
        <v>48.817999999999984</v>
      </c>
      <c r="E111" s="21">
        <v>65.397999999999982</v>
      </c>
      <c r="F111" s="21">
        <v>1.6513689268999994</v>
      </c>
      <c r="G111" s="21">
        <v>1.2083187269999995</v>
      </c>
      <c r="H111" s="21">
        <v>0.88610039979999966</v>
      </c>
      <c r="I111" s="21">
        <v>15.377636671499994</v>
      </c>
      <c r="J111" s="21">
        <v>8.2014062247999959</v>
      </c>
      <c r="K111" s="21">
        <v>9.064712143199996</v>
      </c>
      <c r="L111" s="21"/>
      <c r="M111" s="21"/>
    </row>
    <row r="112" spans="1:13" x14ac:dyDescent="0.35">
      <c r="A112" s="2" t="s">
        <v>214</v>
      </c>
      <c r="B112" s="21">
        <v>875.05</v>
      </c>
      <c r="C112" s="2" t="s">
        <v>165</v>
      </c>
      <c r="D112" s="21">
        <v>48.817999999999984</v>
      </c>
      <c r="E112" s="21">
        <v>65.397999999999982</v>
      </c>
      <c r="F112" s="21">
        <v>1.7514458268999995</v>
      </c>
      <c r="G112" s="21">
        <v>1.2815457269999997</v>
      </c>
      <c r="H112" s="21">
        <v>0.93980019979999974</v>
      </c>
      <c r="I112" s="21">
        <v>16.309558171499994</v>
      </c>
      <c r="J112" s="21">
        <v>8.6984310247999979</v>
      </c>
      <c r="K112" s="21">
        <v>9.6140553431999969</v>
      </c>
      <c r="L112" s="21"/>
      <c r="M112" s="21"/>
    </row>
    <row r="113" spans="1:13" x14ac:dyDescent="0.35">
      <c r="A113" s="2" t="s">
        <v>215</v>
      </c>
      <c r="B113" s="21">
        <v>925.05</v>
      </c>
      <c r="C113" s="2" t="s">
        <v>169</v>
      </c>
      <c r="D113" s="21">
        <v>48.817999999999984</v>
      </c>
      <c r="E113" s="21">
        <v>65.397999999999982</v>
      </c>
      <c r="F113" s="21">
        <v>1.851522726899999</v>
      </c>
      <c r="G113" s="21">
        <v>1.3547727269999992</v>
      </c>
      <c r="H113" s="21">
        <v>0.99349999979999948</v>
      </c>
      <c r="I113" s="21">
        <v>17.241479671499995</v>
      </c>
      <c r="J113" s="21">
        <v>9.1954558247999962</v>
      </c>
      <c r="K113" s="21">
        <v>10.163398543199996</v>
      </c>
      <c r="L113" s="21"/>
      <c r="M113" s="21"/>
    </row>
    <row r="114" spans="1:13" x14ac:dyDescent="0.35">
      <c r="A114" s="2" t="s">
        <v>216</v>
      </c>
      <c r="B114" s="21">
        <v>975.05</v>
      </c>
      <c r="C114" s="2" t="s">
        <v>169</v>
      </c>
      <c r="D114" s="21">
        <v>48.817999999999984</v>
      </c>
      <c r="E114" s="21">
        <v>65.397999999999982</v>
      </c>
      <c r="F114" s="21">
        <v>1.9515996268999991</v>
      </c>
      <c r="G114" s="21">
        <v>1.4279997269999993</v>
      </c>
      <c r="H114" s="21">
        <v>1.0471997997999996</v>
      </c>
      <c r="I114" s="21">
        <v>18.173401171499993</v>
      </c>
      <c r="J114" s="21">
        <v>9.6924806247999964</v>
      </c>
      <c r="K114" s="21">
        <v>10.712741743199995</v>
      </c>
      <c r="L114" s="21"/>
      <c r="M114" s="21"/>
    </row>
    <row r="115" spans="1:13" x14ac:dyDescent="0.35">
      <c r="A115" s="2" t="s">
        <v>217</v>
      </c>
      <c r="B115" s="21">
        <v>1050.05</v>
      </c>
      <c r="C115" s="2" t="s">
        <v>169</v>
      </c>
      <c r="D115" s="21">
        <v>48.817999999999984</v>
      </c>
      <c r="E115" s="21">
        <v>65.397999999999982</v>
      </c>
      <c r="F115" s="21">
        <v>2.101714976899999</v>
      </c>
      <c r="G115" s="21">
        <v>1.5378402269999993</v>
      </c>
      <c r="H115" s="21">
        <v>1.1277494997999997</v>
      </c>
      <c r="I115" s="21">
        <v>19.571283421499995</v>
      </c>
      <c r="J115" s="21">
        <v>10.438017824799996</v>
      </c>
      <c r="K115" s="21">
        <v>11.536756543199996</v>
      </c>
      <c r="L115" s="21"/>
      <c r="M115" s="21"/>
    </row>
    <row r="116" spans="1:13" x14ac:dyDescent="0.35">
      <c r="A116" s="2" t="s">
        <v>218</v>
      </c>
      <c r="B116" s="21">
        <v>1150.05</v>
      </c>
      <c r="C116" s="2" t="s">
        <v>169</v>
      </c>
      <c r="D116" s="21">
        <v>48.817999999999984</v>
      </c>
      <c r="E116" s="21">
        <v>65.397999999999982</v>
      </c>
      <c r="F116" s="21">
        <v>2.3018687768999988</v>
      </c>
      <c r="G116" s="21">
        <v>1.6842942269999992</v>
      </c>
      <c r="H116" s="21">
        <v>1.2351490997999994</v>
      </c>
      <c r="I116" s="21">
        <v>21.435126421499994</v>
      </c>
      <c r="J116" s="21">
        <v>11.432067424799996</v>
      </c>
      <c r="K116" s="21">
        <v>12.635442943199996</v>
      </c>
      <c r="L116" s="21"/>
      <c r="M116" s="21"/>
    </row>
    <row r="117" spans="1:13" x14ac:dyDescent="0.35">
      <c r="A117" s="2" t="s">
        <v>219</v>
      </c>
      <c r="B117" s="21">
        <v>1300.05</v>
      </c>
      <c r="C117" s="2" t="s">
        <v>220</v>
      </c>
      <c r="D117" s="21">
        <v>48.817999999999984</v>
      </c>
      <c r="E117" s="21">
        <v>65.397999999999982</v>
      </c>
      <c r="F117" s="21">
        <v>2.602099476899999</v>
      </c>
      <c r="G117" s="21">
        <v>1.9039752269999992</v>
      </c>
      <c r="H117" s="21">
        <v>1.3962484997999995</v>
      </c>
      <c r="I117" s="21">
        <v>24.230890921499991</v>
      </c>
      <c r="J117" s="21">
        <v>12.923141824799995</v>
      </c>
      <c r="K117" s="21">
        <v>14.283472543199993</v>
      </c>
      <c r="L117" s="21"/>
      <c r="M117" s="21"/>
    </row>
    <row r="118" spans="1:13" x14ac:dyDescent="0.35">
      <c r="A118" s="2" t="s">
        <v>221</v>
      </c>
      <c r="B118" s="21">
        <v>1500.05</v>
      </c>
      <c r="C118" s="2" t="s">
        <v>220</v>
      </c>
      <c r="D118" s="21">
        <v>48.817999999999984</v>
      </c>
      <c r="E118" s="21">
        <v>65.397999999999982</v>
      </c>
      <c r="F118" s="21">
        <v>3.0024070768999986</v>
      </c>
      <c r="G118" s="21">
        <v>2.1968832269999989</v>
      </c>
      <c r="H118" s="21">
        <v>1.6110476997999994</v>
      </c>
      <c r="I118" s="21">
        <v>27.95857692149999</v>
      </c>
      <c r="J118" s="21">
        <v>14.911241024799995</v>
      </c>
      <c r="K118" s="21">
        <v>16.480845343199995</v>
      </c>
      <c r="L118" s="21"/>
      <c r="M118" s="21"/>
    </row>
    <row r="119" spans="1:13" x14ac:dyDescent="0.35">
      <c r="A119" s="2" t="s">
        <v>222</v>
      </c>
      <c r="B119" s="21">
        <v>1800.05</v>
      </c>
      <c r="C119" s="2" t="s">
        <v>223</v>
      </c>
      <c r="D119" s="21">
        <v>48.817999999999984</v>
      </c>
      <c r="E119" s="21">
        <v>65.397999999999982</v>
      </c>
      <c r="F119" s="21">
        <v>3.6028684768999981</v>
      </c>
      <c r="G119" s="21">
        <v>2.6362452269999985</v>
      </c>
      <c r="H119" s="21">
        <v>1.9332464997999992</v>
      </c>
      <c r="I119" s="21">
        <v>33.550105921499991</v>
      </c>
      <c r="J119" s="21">
        <v>17.893389824799996</v>
      </c>
      <c r="K119" s="21">
        <v>19.776904543199993</v>
      </c>
      <c r="L119" s="21"/>
      <c r="M119" s="21"/>
    </row>
    <row r="120" spans="1:13" x14ac:dyDescent="0.35">
      <c r="A120" s="2" t="s">
        <v>224</v>
      </c>
      <c r="B120" s="21">
        <v>2200.0500000000002</v>
      </c>
      <c r="C120" s="2" t="s">
        <v>223</v>
      </c>
      <c r="D120" s="21">
        <v>48.817999999999984</v>
      </c>
      <c r="E120" s="21">
        <v>65.397999999999982</v>
      </c>
      <c r="F120" s="21">
        <v>4.4034836768999988</v>
      </c>
      <c r="G120" s="21">
        <v>3.2220612269999993</v>
      </c>
      <c r="H120" s="21">
        <v>2.3628448997999998</v>
      </c>
      <c r="I120" s="21">
        <v>41.005477921499988</v>
      </c>
      <c r="J120" s="21">
        <v>21.869588224799994</v>
      </c>
      <c r="K120" s="21">
        <v>24.17165014319999</v>
      </c>
      <c r="L120" s="21"/>
      <c r="M120" s="21"/>
    </row>
    <row r="121" spans="1:13" x14ac:dyDescent="0.35">
      <c r="A121" s="2" t="s">
        <v>225</v>
      </c>
      <c r="B121" s="21">
        <v>2700.05</v>
      </c>
      <c r="C121" s="2" t="s">
        <v>223</v>
      </c>
      <c r="D121" s="21">
        <v>48.817999999999984</v>
      </c>
      <c r="E121" s="21">
        <v>65.397999999999982</v>
      </c>
      <c r="F121" s="21">
        <v>5.4042526768999988</v>
      </c>
      <c r="G121" s="21">
        <v>3.9543312269999986</v>
      </c>
      <c r="H121" s="21">
        <v>2.8998428997999994</v>
      </c>
      <c r="I121" s="21">
        <v>50.324692921499988</v>
      </c>
      <c r="J121" s="21">
        <v>26.839836224799992</v>
      </c>
      <c r="K121" s="21">
        <v>29.665082143199992</v>
      </c>
      <c r="L121" s="21"/>
      <c r="M121" s="21"/>
    </row>
    <row r="122" spans="1:13" x14ac:dyDescent="0.35">
      <c r="A122" s="2" t="s">
        <v>226</v>
      </c>
      <c r="B122" s="21">
        <v>3500.05</v>
      </c>
      <c r="C122" s="2" t="s">
        <v>223</v>
      </c>
      <c r="D122" s="21">
        <v>48.817999999999984</v>
      </c>
      <c r="E122" s="21">
        <v>65.397999999999982</v>
      </c>
      <c r="F122" s="21">
        <v>7.0054830768999983</v>
      </c>
      <c r="G122" s="21">
        <v>5.1259632269999988</v>
      </c>
      <c r="H122" s="21">
        <v>3.7590396997999993</v>
      </c>
      <c r="I122" s="21">
        <v>65.235436921499982</v>
      </c>
      <c r="J122" s="21">
        <v>34.792233024799991</v>
      </c>
      <c r="K122" s="21">
        <v>38.454573343199982</v>
      </c>
      <c r="L122" s="21"/>
      <c r="M122" s="21"/>
    </row>
    <row r="123" spans="1:13" x14ac:dyDescent="0.35">
      <c r="A123" s="2" t="s">
        <v>227</v>
      </c>
      <c r="B123" s="21">
        <v>4750.05</v>
      </c>
      <c r="C123" s="2" t="s">
        <v>223</v>
      </c>
      <c r="D123" s="21">
        <v>48.817999999999984</v>
      </c>
      <c r="E123" s="21">
        <v>65.397999999999982</v>
      </c>
      <c r="F123" s="21">
        <v>9.5074055768999965</v>
      </c>
      <c r="G123" s="21">
        <v>6.9566382269999973</v>
      </c>
      <c r="H123" s="21">
        <v>5.1015346997999984</v>
      </c>
      <c r="I123" s="21">
        <v>88.533474421499989</v>
      </c>
      <c r="J123" s="21">
        <v>47.217853024799986</v>
      </c>
      <c r="K123" s="21">
        <v>52.188153343199986</v>
      </c>
      <c r="L123" s="21"/>
      <c r="M123" s="21"/>
    </row>
    <row r="124" spans="1:13" x14ac:dyDescent="0.35">
      <c r="A124" s="3"/>
      <c r="B124" s="3"/>
      <c r="C124" s="3"/>
      <c r="D124" s="3"/>
      <c r="E124" s="3"/>
      <c r="F124" s="3"/>
      <c r="G124" s="100"/>
      <c r="H124" s="100"/>
      <c r="I124" s="3"/>
      <c r="J124" s="3"/>
      <c r="K124" s="3"/>
      <c r="L124" s="3"/>
      <c r="M124" s="3"/>
    </row>
    <row r="125" spans="1:13" ht="42.75" customHeight="1" x14ac:dyDescent="0.35">
      <c r="A125" s="20" t="s">
        <v>228</v>
      </c>
      <c r="B125" s="3"/>
      <c r="C125" s="3"/>
      <c r="D125" s="3"/>
      <c r="F125" s="3"/>
      <c r="H125" s="100"/>
      <c r="J125" s="3"/>
      <c r="K125" s="3"/>
      <c r="L125" s="3"/>
      <c r="M125" s="3"/>
    </row>
    <row r="126" spans="1:13" ht="31" x14ac:dyDescent="0.35">
      <c r="A126" s="19" t="s">
        <v>229</v>
      </c>
      <c r="B126" s="19" t="s">
        <v>230</v>
      </c>
      <c r="C126" s="3"/>
      <c r="D126" s="3"/>
      <c r="F126" s="3"/>
      <c r="H126" s="100"/>
      <c r="J126" s="3"/>
      <c r="K126" s="3"/>
      <c r="L126" s="3"/>
      <c r="M126" s="3"/>
    </row>
    <row r="127" spans="1:13" x14ac:dyDescent="0.35">
      <c r="A127" s="3" t="s">
        <v>163</v>
      </c>
      <c r="B127" s="3" t="s">
        <v>163</v>
      </c>
      <c r="C127" s="3"/>
      <c r="D127" s="3"/>
      <c r="F127" s="3"/>
      <c r="H127" s="100"/>
      <c r="J127" s="3"/>
      <c r="K127" s="3"/>
      <c r="L127" s="3"/>
      <c r="M127" s="3"/>
    </row>
    <row r="128" spans="1:13" x14ac:dyDescent="0.35">
      <c r="A128" s="3"/>
      <c r="B128" s="3"/>
      <c r="C128" s="3"/>
      <c r="D128" s="3"/>
      <c r="F128" s="3"/>
      <c r="H128" s="100"/>
      <c r="I128" s="3"/>
      <c r="J128" s="3"/>
      <c r="K128" s="3"/>
      <c r="L128" s="3"/>
      <c r="M128" s="3"/>
    </row>
    <row r="129" spans="1:13" ht="47.25" customHeight="1" x14ac:dyDescent="0.35">
      <c r="A129" s="20" t="s">
        <v>231</v>
      </c>
      <c r="B129" s="3"/>
      <c r="C129" s="3"/>
      <c r="D129" s="3"/>
      <c r="F129" s="2"/>
      <c r="H129" s="3"/>
      <c r="I129" s="3"/>
      <c r="J129" s="3"/>
      <c r="K129" s="3"/>
      <c r="L129" s="3"/>
      <c r="M129" s="3"/>
    </row>
    <row r="130" spans="1:13" ht="31" x14ac:dyDescent="0.35">
      <c r="A130" s="19" t="s">
        <v>232</v>
      </c>
      <c r="B130" s="19" t="s">
        <v>233</v>
      </c>
      <c r="C130" s="19" t="s">
        <v>234</v>
      </c>
      <c r="D130" s="3"/>
      <c r="F130" s="3"/>
      <c r="H130" s="3"/>
      <c r="I130" s="3"/>
      <c r="J130" s="3"/>
      <c r="K130" s="3"/>
      <c r="L130" s="3"/>
      <c r="M130" s="3"/>
    </row>
    <row r="131" spans="1:13" x14ac:dyDescent="0.35">
      <c r="A131" s="101" t="s">
        <v>235</v>
      </c>
      <c r="B131" s="3" t="s">
        <v>166</v>
      </c>
      <c r="C131" s="3" t="s">
        <v>236</v>
      </c>
      <c r="D131" s="3"/>
      <c r="F131" s="3"/>
      <c r="H131" s="3"/>
      <c r="I131" s="3"/>
      <c r="J131" s="3"/>
      <c r="K131" s="3"/>
      <c r="L131" s="3"/>
      <c r="M131" s="3"/>
    </row>
    <row r="132" spans="1:13" ht="31" x14ac:dyDescent="0.35">
      <c r="A132" s="101" t="s">
        <v>237</v>
      </c>
      <c r="B132" s="3" t="s">
        <v>167</v>
      </c>
      <c r="C132" s="3" t="s">
        <v>238</v>
      </c>
      <c r="D132" s="3"/>
      <c r="F132" s="3"/>
      <c r="H132" s="3"/>
      <c r="I132" s="3"/>
      <c r="J132" s="3"/>
      <c r="K132" s="3"/>
      <c r="L132" s="3"/>
      <c r="M132" s="3"/>
    </row>
    <row r="133" spans="1:13" ht="46.5" x14ac:dyDescent="0.35">
      <c r="A133" s="101" t="s">
        <v>239</v>
      </c>
      <c r="B133" s="3" t="s">
        <v>168</v>
      </c>
      <c r="C133" s="3" t="s">
        <v>240</v>
      </c>
      <c r="D133" s="3"/>
      <c r="F133" s="3"/>
      <c r="H133" s="3"/>
      <c r="I133" s="3"/>
      <c r="J133" s="3"/>
      <c r="K133" s="3"/>
      <c r="L133" s="3"/>
      <c r="M133" s="3"/>
    </row>
    <row r="134" spans="1:13" ht="31" x14ac:dyDescent="0.35">
      <c r="A134" s="3" t="s">
        <v>241</v>
      </c>
      <c r="B134" s="3" t="s">
        <v>167</v>
      </c>
      <c r="C134" s="3" t="s">
        <v>238</v>
      </c>
      <c r="D134" s="3"/>
      <c r="F134" s="3"/>
      <c r="H134" s="3"/>
      <c r="I134" s="3"/>
      <c r="J134" s="3"/>
      <c r="K134" s="3"/>
      <c r="L134" s="3"/>
      <c r="M134" s="3"/>
    </row>
    <row r="135" spans="1:13" ht="31" x14ac:dyDescent="0.35">
      <c r="A135" s="3" t="s">
        <v>242</v>
      </c>
      <c r="B135" s="3" t="s">
        <v>167</v>
      </c>
      <c r="C135" s="3" t="s">
        <v>238</v>
      </c>
      <c r="D135" s="3"/>
      <c r="F135" s="3"/>
      <c r="H135" s="3"/>
      <c r="I135" s="99"/>
      <c r="J135" s="3"/>
      <c r="K135" s="3"/>
      <c r="L135" s="3"/>
      <c r="M135" s="3"/>
    </row>
    <row r="136" spans="1:13" ht="31" x14ac:dyDescent="0.35">
      <c r="A136" s="101" t="s">
        <v>243</v>
      </c>
      <c r="B136" s="3" t="s">
        <v>167</v>
      </c>
      <c r="C136" s="3" t="s">
        <v>238</v>
      </c>
      <c r="D136" s="3"/>
      <c r="F136" s="3"/>
      <c r="H136" s="3"/>
      <c r="I136" s="99"/>
      <c r="J136" s="3"/>
      <c r="K136" s="3"/>
      <c r="L136" s="3"/>
      <c r="M136" s="3"/>
    </row>
    <row r="137" spans="1:13" x14ac:dyDescent="0.35">
      <c r="A137" s="3"/>
      <c r="B137" s="100"/>
      <c r="C137" s="3"/>
      <c r="D137" s="3"/>
      <c r="F137" s="3"/>
      <c r="H137" s="3"/>
      <c r="I137" s="99"/>
      <c r="J137" s="3"/>
      <c r="K137" s="3"/>
      <c r="L137" s="3"/>
      <c r="M137" s="3"/>
    </row>
    <row r="138" spans="1:13" ht="50.25" customHeight="1" x14ac:dyDescent="0.35">
      <c r="A138" s="20" t="s">
        <v>244</v>
      </c>
      <c r="B138" s="100"/>
      <c r="C138" s="3"/>
      <c r="D138" s="3"/>
      <c r="F138" s="3"/>
      <c r="H138" s="3"/>
      <c r="I138" s="99"/>
      <c r="J138" s="3"/>
      <c r="K138" s="3"/>
      <c r="L138" s="3"/>
      <c r="M138" s="3"/>
    </row>
    <row r="139" spans="1:13" ht="31" x14ac:dyDescent="0.35">
      <c r="A139" s="35" t="s">
        <v>152</v>
      </c>
      <c r="B139" s="35" t="s">
        <v>230</v>
      </c>
      <c r="C139" s="3"/>
      <c r="D139" s="3"/>
      <c r="F139" s="3"/>
      <c r="H139" s="3"/>
      <c r="I139" s="3"/>
      <c r="J139" s="3"/>
      <c r="K139" s="3"/>
      <c r="L139" s="3"/>
      <c r="M139" s="3"/>
    </row>
    <row r="140" spans="1:13" x14ac:dyDescent="0.35">
      <c r="A140" s="3" t="s">
        <v>245</v>
      </c>
      <c r="B140" s="100" t="b">
        <v>1</v>
      </c>
      <c r="C140" s="3"/>
      <c r="D140" s="3"/>
      <c r="F140" s="3"/>
      <c r="H140" s="3"/>
      <c r="I140" s="3"/>
      <c r="J140" s="3"/>
      <c r="K140" s="3"/>
      <c r="L140" s="3"/>
      <c r="M140" s="3"/>
    </row>
    <row r="141" spans="1:13" x14ac:dyDescent="0.35">
      <c r="A141" s="3" t="s">
        <v>246</v>
      </c>
      <c r="B141" s="100" t="b">
        <v>0</v>
      </c>
      <c r="C141" s="3"/>
      <c r="D141" s="3"/>
      <c r="F141" s="3"/>
      <c r="H141" s="3"/>
      <c r="I141" s="3"/>
      <c r="J141" s="3"/>
      <c r="K141" s="3"/>
      <c r="L141" s="3"/>
      <c r="M141" s="3"/>
    </row>
    <row r="142" spans="1:13" x14ac:dyDescent="0.35">
      <c r="A142" s="3"/>
      <c r="B142" s="100"/>
      <c r="C142" s="100"/>
      <c r="D142" s="3"/>
      <c r="F142" s="3"/>
    </row>
    <row r="143" spans="1:13" ht="44.25" customHeight="1" x14ac:dyDescent="0.35">
      <c r="A143" s="20" t="s">
        <v>247</v>
      </c>
      <c r="B143" s="100"/>
      <c r="C143" s="100"/>
      <c r="D143" s="3"/>
    </row>
    <row r="144" spans="1:13" x14ac:dyDescent="0.35">
      <c r="A144" s="35" t="s">
        <v>248</v>
      </c>
      <c r="D144" s="3"/>
    </row>
    <row r="145" spans="1:8" x14ac:dyDescent="0.35">
      <c r="A145" s="3" t="s">
        <v>164</v>
      </c>
      <c r="D145" s="3"/>
      <c r="E145" s="3"/>
      <c r="F145" s="3"/>
      <c r="G145" s="100"/>
      <c r="H145" s="100"/>
    </row>
    <row r="146" spans="1:8" x14ac:dyDescent="0.35">
      <c r="A146" s="3" t="s">
        <v>170</v>
      </c>
      <c r="D146" s="3"/>
      <c r="E146" s="3"/>
      <c r="F146" s="3"/>
      <c r="G146" s="100"/>
      <c r="H146" s="100"/>
    </row>
    <row r="147" spans="1:8" x14ac:dyDescent="0.35">
      <c r="A147" s="3" t="s">
        <v>171</v>
      </c>
      <c r="D147" s="3"/>
      <c r="E147" s="3"/>
      <c r="F147" s="3"/>
      <c r="G147" s="100"/>
      <c r="H147" s="100"/>
    </row>
    <row r="148" spans="1:8" x14ac:dyDescent="0.35">
      <c r="A148" s="3" t="s">
        <v>177</v>
      </c>
      <c r="D148" s="3"/>
      <c r="E148" s="3"/>
      <c r="F148" s="3"/>
      <c r="G148" s="100"/>
      <c r="H148" s="100"/>
    </row>
    <row r="149" spans="1:8" x14ac:dyDescent="0.35">
      <c r="A149" s="3" t="s">
        <v>172</v>
      </c>
      <c r="D149" s="3"/>
      <c r="E149" s="3"/>
      <c r="F149" s="3"/>
      <c r="G149" s="100"/>
      <c r="H149" s="100"/>
    </row>
    <row r="150" spans="1:8" x14ac:dyDescent="0.35">
      <c r="A150" s="3" t="s">
        <v>173</v>
      </c>
      <c r="D150" s="3"/>
      <c r="E150" s="3"/>
      <c r="F150" s="3"/>
      <c r="G150" s="100"/>
      <c r="H150" s="100"/>
    </row>
    <row r="151" spans="1:8" x14ac:dyDescent="0.35">
      <c r="A151" s="3" t="s">
        <v>249</v>
      </c>
      <c r="D151" s="3"/>
      <c r="E151" s="3"/>
      <c r="F151" s="3"/>
      <c r="G151" s="100"/>
      <c r="H151" s="100"/>
    </row>
    <row r="152" spans="1:8" x14ac:dyDescent="0.35">
      <c r="A152" s="3" t="s">
        <v>174</v>
      </c>
      <c r="D152" s="3"/>
      <c r="E152" s="3"/>
      <c r="F152" s="3"/>
      <c r="G152" s="100"/>
      <c r="H152" s="100"/>
    </row>
    <row r="153" spans="1:8" x14ac:dyDescent="0.35">
      <c r="A153" s="3" t="s">
        <v>175</v>
      </c>
      <c r="D153" s="3"/>
      <c r="E153" s="3"/>
      <c r="F153" s="3"/>
      <c r="G153" s="100"/>
      <c r="H153" s="100"/>
    </row>
    <row r="154" spans="1:8" x14ac:dyDescent="0.35">
      <c r="A154" s="99" t="s">
        <v>181</v>
      </c>
      <c r="D154" s="3"/>
      <c r="E154" s="3"/>
      <c r="F154" s="3"/>
      <c r="G154" s="100"/>
      <c r="H154" s="100"/>
    </row>
    <row r="155" spans="1:8" x14ac:dyDescent="0.35">
      <c r="A155" s="99" t="s">
        <v>183</v>
      </c>
      <c r="D155" s="3"/>
      <c r="E155" s="3"/>
      <c r="F155" s="3"/>
      <c r="G155" s="100"/>
      <c r="H155" s="100"/>
    </row>
    <row r="156" spans="1:8" x14ac:dyDescent="0.35">
      <c r="A156" s="99" t="s">
        <v>184</v>
      </c>
      <c r="D156" s="3"/>
      <c r="E156" s="3"/>
      <c r="F156" s="3"/>
      <c r="G156" s="100"/>
      <c r="H156" s="100"/>
    </row>
    <row r="157" spans="1:8" x14ac:dyDescent="0.35">
      <c r="A157" s="99" t="s">
        <v>185</v>
      </c>
      <c r="D157" s="3"/>
      <c r="E157" s="3"/>
      <c r="F157" s="3"/>
      <c r="G157" s="100"/>
      <c r="H157" s="100"/>
    </row>
    <row r="158" spans="1:8" x14ac:dyDescent="0.35">
      <c r="A158" s="3" t="s">
        <v>186</v>
      </c>
      <c r="D158" s="3"/>
      <c r="E158" s="3"/>
      <c r="F158" s="3"/>
      <c r="G158" s="100"/>
      <c r="H158" s="100"/>
    </row>
    <row r="159" spans="1:8" x14ac:dyDescent="0.35">
      <c r="A159" s="3" t="s">
        <v>187</v>
      </c>
      <c r="D159" s="3"/>
      <c r="E159" s="3"/>
      <c r="F159" s="3"/>
      <c r="G159" s="100"/>
      <c r="H159" s="100"/>
    </row>
    <row r="160" spans="1:8" x14ac:dyDescent="0.35">
      <c r="A160" s="3" t="s">
        <v>188</v>
      </c>
      <c r="D160" s="3"/>
      <c r="E160" s="3"/>
      <c r="F160" s="3"/>
      <c r="G160" s="100"/>
      <c r="H160" s="100"/>
    </row>
    <row r="161" spans="1:8" x14ac:dyDescent="0.35">
      <c r="A161" s="98" t="s">
        <v>182</v>
      </c>
      <c r="D161" s="3"/>
      <c r="E161" s="3"/>
      <c r="F161" s="3"/>
      <c r="G161" s="100"/>
      <c r="H161" s="100"/>
    </row>
    <row r="163" spans="1:8" ht="46.5" customHeight="1" x14ac:dyDescent="0.35">
      <c r="A163" s="20" t="s">
        <v>250</v>
      </c>
    </row>
    <row r="164" spans="1:8" x14ac:dyDescent="0.35">
      <c r="A164" s="35" t="s">
        <v>251</v>
      </c>
    </row>
    <row r="165" spans="1:8" x14ac:dyDescent="0.35">
      <c r="A165" s="3" t="s">
        <v>164</v>
      </c>
    </row>
    <row r="166" spans="1:8" x14ac:dyDescent="0.35">
      <c r="A166" s="3" t="s">
        <v>170</v>
      </c>
    </row>
    <row r="167" spans="1:8" x14ac:dyDescent="0.35">
      <c r="A167" s="3" t="s">
        <v>171</v>
      </c>
    </row>
    <row r="168" spans="1:8" x14ac:dyDescent="0.35">
      <c r="A168" s="3" t="s">
        <v>177</v>
      </c>
    </row>
    <row r="169" spans="1:8" x14ac:dyDescent="0.35">
      <c r="A169" s="3" t="s">
        <v>172</v>
      </c>
    </row>
    <row r="170" spans="1:8" x14ac:dyDescent="0.35">
      <c r="A170" s="3" t="s">
        <v>173</v>
      </c>
    </row>
    <row r="171" spans="1:8" x14ac:dyDescent="0.35">
      <c r="A171" s="3" t="s">
        <v>174</v>
      </c>
    </row>
    <row r="172" spans="1:8" x14ac:dyDescent="0.35">
      <c r="A172" s="3" t="s">
        <v>175</v>
      </c>
    </row>
    <row r="173" spans="1:8" x14ac:dyDescent="0.35">
      <c r="A173" s="99" t="s">
        <v>181</v>
      </c>
    </row>
    <row r="174" spans="1:8" x14ac:dyDescent="0.35">
      <c r="A174" s="99" t="s">
        <v>183</v>
      </c>
    </row>
    <row r="175" spans="1:8" x14ac:dyDescent="0.35">
      <c r="A175" s="99" t="s">
        <v>184</v>
      </c>
    </row>
    <row r="176" spans="1:8" x14ac:dyDescent="0.35">
      <c r="A176" s="99" t="s">
        <v>185</v>
      </c>
    </row>
    <row r="177" spans="1:1" x14ac:dyDescent="0.35">
      <c r="A177" s="3" t="s">
        <v>186</v>
      </c>
    </row>
    <row r="178" spans="1:1" x14ac:dyDescent="0.35">
      <c r="A178" s="3" t="s">
        <v>187</v>
      </c>
    </row>
    <row r="179" spans="1:1" x14ac:dyDescent="0.35">
      <c r="A179" s="3" t="s">
        <v>188</v>
      </c>
    </row>
    <row r="180" spans="1:1" x14ac:dyDescent="0.35">
      <c r="A180" s="3" t="s">
        <v>182</v>
      </c>
    </row>
    <row r="182" spans="1:1" ht="26.25" customHeight="1" x14ac:dyDescent="0.35">
      <c r="A182" s="20" t="s">
        <v>252</v>
      </c>
    </row>
    <row r="183" spans="1:1" x14ac:dyDescent="0.35">
      <c r="A183" s="35" t="s">
        <v>253</v>
      </c>
    </row>
    <row r="184" spans="1:1" x14ac:dyDescent="0.35">
      <c r="A184" s="3" t="e" cm="1" vm="1">
        <f t="array" ref="A184">_xlfn._xlws.SORT(_xlfn.UNIQUE(_xlfn._xlws.FILTER(Nutrients_from_future_land_use!$A$5:$A$21,Nutrients_from_future_land_use!$A$5:$A$21&lt;&gt;"")))</f>
        <v>#VALUE!</v>
      </c>
    </row>
  </sheetData>
  <sheetProtection algorithmName="SHA-512" hashValue="LnAJ0M1zukP58vLwZOwAhHmsFouk4OGR72g8xjYkB/YG/bhKkmVRBp7HFOOrCuMpb0x41eprUbCq5Z00dQUgkQ==" saltValue="f2LUk9CI1Nzp4j801e7SXQ==" spinCount="100000" sheet="1" objects="1" scenarios="1"/>
  <phoneticPr fontId="3" type="noConversion"/>
  <dataValidations count="1">
    <dataValidation allowBlank="1" showInputMessage="1" showErrorMessage="1" prompt="This value is dependent on the rainfall volume." sqref="G95:H97 G91:H91" xr:uid="{531D2639-E1CD-4714-9D53-CBF5CF1C1961}"/>
  </dataValidations>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FD3A722D-A4A1-4FB8-8467-262B4074FD6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870AF0-BC99-4EE0-9479-825860D2F995}">
  <ds:schemaRefs>
    <ds:schemaRef ds:uri="http://schemas.microsoft.com/DataMashup"/>
  </ds:schemaRefs>
</ds:datastoreItem>
</file>

<file path=customXml/itemProps3.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4.xml><?xml version="1.0" encoding="utf-8"?>
<ds:datastoreItem xmlns:ds="http://schemas.openxmlformats.org/officeDocument/2006/customXml" ds:itemID="{710B7B34-BAFA-44BC-9733-02FC35A4DB99}">
  <ds:schemaRefs>
    <ds:schemaRef ds:uri="Microsoft.SharePoint.Taxonomy.ContentTypeSync"/>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About_the_calculator</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Bibby, David</cp:lastModifiedBy>
  <cp:revision/>
  <dcterms:created xsi:type="dcterms:W3CDTF">2021-10-14T13:24:34Z</dcterms:created>
  <dcterms:modified xsi:type="dcterms:W3CDTF">2024-02-02T15:31:04Z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